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BECSV2\jsbc研究開発部\05_CASBEE\4_★CASBEE評価マニュアル\2025年版（R07）\ウェルネスオフィス\評価ソフト\"/>
    </mc:Choice>
  </mc:AlternateContent>
  <xr:revisionPtr revIDLastSave="0" documentId="13_ncr:1_{17CA9C89-4FD5-43F5-BEA6-1511A8C9B75D}" xr6:coauthVersionLast="47" xr6:coauthVersionMax="47" xr10:uidLastSave="{00000000-0000-0000-0000-000000000000}"/>
  <bookViews>
    <workbookView xWindow="3630" yWindow="870" windowWidth="21855" windowHeight="15045" tabRatio="767" xr2:uid="{00000000-000D-0000-FFFF-FFFF00000000}"/>
  </bookViews>
  <sheets>
    <sheet name="メイン" sheetId="2" r:id="rId1"/>
    <sheet name="結果" sheetId="4" r:id="rId2"/>
    <sheet name="結果(感染対策)" sheetId="38" r:id="rId3"/>
    <sheet name="配慮" sheetId="7" r:id="rId4"/>
    <sheet name="スコア" sheetId="28" r:id="rId5"/>
    <sheet name="採点Qw1" sheetId="36" r:id="rId6"/>
    <sheet name="採点Qw2" sheetId="35" r:id="rId7"/>
    <sheet name="採点Qw3" sheetId="34" r:id="rId8"/>
    <sheet name="クレジット" sheetId="19" r:id="rId9"/>
  </sheets>
  <definedNames>
    <definedName name="_xlnm.Print_Area" localSheetId="8">クレジット!$A$1:$S$37</definedName>
    <definedName name="_xlnm.Print_Area" localSheetId="4">スコア!$A$1:$K$115</definedName>
    <definedName name="_xlnm.Print_Area" localSheetId="0">メイン!$A$1:$N$93</definedName>
    <definedName name="_xlnm.Print_Area" localSheetId="1">結果!$A$1:$P$71</definedName>
    <definedName name="_xlnm.Print_Area" localSheetId="2">'結果(感染対策)'!$A$1:$P$71</definedName>
    <definedName name="_xlnm.Print_Area" localSheetId="5">採点Qw1!$A$1:$M$168</definedName>
    <definedName name="Z_047384A4_E844_4BB4_B522_1CE13C4699E4_.wvu.Cols" localSheetId="8" hidden="1">クレジット!$T:$IV</definedName>
    <definedName name="Z_047384A4_E844_4BB4_B522_1CE13C4699E4_.wvu.Cols" localSheetId="0" hidden="1">メイン!$I:$IV</definedName>
    <definedName name="Z_047384A4_E844_4BB4_B522_1CE13C4699E4_.wvu.Cols" localSheetId="3" hidden="1">配慮!$H:$IW</definedName>
    <definedName name="Z_047384A4_E844_4BB4_B522_1CE13C4699E4_.wvu.PrintArea" localSheetId="8" hidden="1">クレジット!$A$1:$S$37</definedName>
    <definedName name="Z_047384A4_E844_4BB4_B522_1CE13C4699E4_.wvu.PrintArea" localSheetId="0" hidden="1">メイン!$A$1:$G$74</definedName>
    <definedName name="Z_047384A4_E844_4BB4_B522_1CE13C4699E4_.wvu.PrintArea" localSheetId="1" hidden="1">結果!$A$1:$P$99</definedName>
    <definedName name="Z_047384A4_E844_4BB4_B522_1CE13C4699E4_.wvu.PrintArea" localSheetId="2" hidden="1">'結果(感染対策)'!$A$1:$P$99</definedName>
    <definedName name="Z_047384A4_E844_4BB4_B522_1CE13C4699E4_.wvu.Rows" localSheetId="8" hidden="1">クレジット!$39:$65536,クレジット!$38:$38</definedName>
    <definedName name="Z_047384A4_E844_4BB4_B522_1CE13C4699E4_.wvu.Rows" localSheetId="0" hidden="1">メイン!$113:$65541,メイン!$94:$112</definedName>
    <definedName name="Z_047384A4_E844_4BB4_B522_1CE13C4699E4_.wvu.Rows" localSheetId="1" hidden="1">結果!$217:$65538,結果!$18:$21,結果!$72:$94,結果!$100:$216</definedName>
    <definedName name="Z_047384A4_E844_4BB4_B522_1CE13C4699E4_.wvu.Rows" localSheetId="2" hidden="1">'結果(感染対策)'!$217:$65538,'結果(感染対策)'!$18:$21,'結果(感染対策)'!$72:$94,'結果(感染対策)'!$100:$216</definedName>
    <definedName name="Z_047384A4_E844_4BB4_B522_1CE13C4699E4_.wvu.Rows" localSheetId="3" hidden="1">配慮!$12:$65392,配慮!#REF!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 l="1"/>
  <c r="D10" i="7" s="1"/>
  <c r="L68" i="38" s="1"/>
  <c r="C9" i="7"/>
  <c r="D9" i="7" s="1"/>
  <c r="H68" i="38" s="1"/>
  <c r="C8" i="7"/>
  <c r="D8" i="7" s="1"/>
  <c r="B68" i="38" s="1"/>
  <c r="H189" i="34"/>
  <c r="D159" i="34"/>
  <c r="D158" i="34"/>
  <c r="D157" i="34"/>
  <c r="D156" i="34"/>
  <c r="D155" i="34"/>
  <c r="D145" i="34"/>
  <c r="X50" i="38"/>
  <c r="X51" i="38"/>
  <c r="U50" i="38"/>
  <c r="U51" i="38"/>
  <c r="U52" i="38"/>
  <c r="U53" i="38"/>
  <c r="U54" i="38"/>
  <c r="U55" i="38"/>
  <c r="U56" i="38"/>
  <c r="R50" i="38"/>
  <c r="R51" i="38"/>
  <c r="R52" i="38"/>
  <c r="R53" i="38"/>
  <c r="X49" i="38"/>
  <c r="U49" i="38"/>
  <c r="R49" i="38"/>
  <c r="X46" i="38"/>
  <c r="U46" i="38"/>
  <c r="R46" i="38"/>
  <c r="AH53" i="38"/>
  <c r="AH52" i="38"/>
  <c r="AH51" i="38"/>
  <c r="AS15" i="28"/>
  <c r="AS16" i="28"/>
  <c r="AS17" i="28"/>
  <c r="AS18" i="28"/>
  <c r="AS20" i="28"/>
  <c r="AS21" i="28"/>
  <c r="AS26" i="28"/>
  <c r="AS28" i="28"/>
  <c r="AS30" i="28"/>
  <c r="AS31" i="28"/>
  <c r="AS35" i="28"/>
  <c r="AS41" i="28"/>
  <c r="AS44" i="28"/>
  <c r="AS47" i="28"/>
  <c r="AS52" i="28"/>
  <c r="AS60" i="28"/>
  <c r="AS61" i="28"/>
  <c r="AS62" i="28"/>
  <c r="AS63" i="28"/>
  <c r="AS64" i="28"/>
  <c r="AS65" i="28"/>
  <c r="AS66" i="28"/>
  <c r="AS67" i="28"/>
  <c r="AS68" i="28"/>
  <c r="AS69" i="28"/>
  <c r="AS70" i="28"/>
  <c r="AS76" i="28"/>
  <c r="AS80" i="28"/>
  <c r="AS85" i="28"/>
  <c r="AS87" i="28"/>
  <c r="AS88" i="28"/>
  <c r="AS89" i="28"/>
  <c r="AS90" i="28"/>
  <c r="L15" i="28"/>
  <c r="L78" i="28"/>
  <c r="AQ90" i="28"/>
  <c r="AQ89" i="28"/>
  <c r="AQ88" i="28"/>
  <c r="AQ86" i="28"/>
  <c r="AQ84" i="28"/>
  <c r="AQ83" i="28"/>
  <c r="AQ82" i="28"/>
  <c r="AQ81" i="28"/>
  <c r="AQ79" i="28"/>
  <c r="AQ78" i="28"/>
  <c r="AQ77" i="28"/>
  <c r="AQ75" i="28"/>
  <c r="AQ74" i="28"/>
  <c r="AQ73" i="28"/>
  <c r="AQ72" i="28"/>
  <c r="AQ71" i="28"/>
  <c r="AQ68" i="28"/>
  <c r="AQ66" i="28"/>
  <c r="AQ65" i="28"/>
  <c r="AQ64" i="28"/>
  <c r="AQ63" i="28"/>
  <c r="AQ62" i="28"/>
  <c r="AQ61" i="28"/>
  <c r="AQ59" i="28"/>
  <c r="AQ58" i="28"/>
  <c r="AQ57" i="28"/>
  <c r="AQ56" i="28"/>
  <c r="AQ55" i="28"/>
  <c r="AQ54" i="28"/>
  <c r="AQ53" i="28"/>
  <c r="AQ51" i="28"/>
  <c r="AQ50" i="28"/>
  <c r="AQ49" i="28"/>
  <c r="AQ48" i="28"/>
  <c r="AQ46" i="28"/>
  <c r="AQ45" i="28"/>
  <c r="AQ43" i="28"/>
  <c r="AQ42" i="28"/>
  <c r="AQ40" i="28"/>
  <c r="AQ39" i="28"/>
  <c r="AQ38" i="28"/>
  <c r="AQ37" i="28"/>
  <c r="AQ36" i="28"/>
  <c r="AQ34" i="28"/>
  <c r="AQ33" i="28"/>
  <c r="AQ32" i="28"/>
  <c r="AQ29" i="28"/>
  <c r="AQ27" i="28"/>
  <c r="AQ25" i="28"/>
  <c r="AQ24" i="28"/>
  <c r="AQ23" i="28"/>
  <c r="AQ22" i="28"/>
  <c r="AQ20" i="28"/>
  <c r="AQ19" i="28"/>
  <c r="AQ17" i="28"/>
  <c r="AQ16" i="28"/>
  <c r="AQ15" i="28"/>
  <c r="AQ14" i="28"/>
  <c r="AQ13" i="28"/>
  <c r="AQ12" i="28"/>
  <c r="D53" i="36" l="1"/>
  <c r="D52" i="36"/>
  <c r="D51" i="36"/>
  <c r="D50" i="36"/>
  <c r="D49" i="36"/>
  <c r="J27" i="36"/>
  <c r="E44" i="36"/>
  <c r="D36" i="36" s="1"/>
  <c r="H69" i="38"/>
  <c r="B69" i="38"/>
  <c r="AK48" i="38"/>
  <c r="AH48" i="38"/>
  <c r="J17" i="38"/>
  <c r="E17" i="38"/>
  <c r="J16" i="38"/>
  <c r="E16" i="38"/>
  <c r="J15" i="38"/>
  <c r="E15" i="38"/>
  <c r="D14" i="38"/>
  <c r="J13" i="38"/>
  <c r="F13" i="38"/>
  <c r="D13" i="38"/>
  <c r="J12" i="38"/>
  <c r="D12" i="38"/>
  <c r="K11" i="38"/>
  <c r="J11" i="38"/>
  <c r="H11" i="38"/>
  <c r="D11" i="38"/>
  <c r="J10" i="38"/>
  <c r="D10" i="38"/>
  <c r="J9" i="38"/>
  <c r="D9" i="38"/>
  <c r="M8" i="38"/>
  <c r="J8" i="38"/>
  <c r="D8" i="38"/>
  <c r="N5" i="38"/>
  <c r="AH52" i="4"/>
  <c r="AH51" i="4"/>
  <c r="B67" i="38" l="1"/>
  <c r="B8" i="7" s="1"/>
  <c r="C42" i="38"/>
  <c r="AI8" i="28" l="1"/>
  <c r="AJ8" i="28"/>
  <c r="AK8" i="28"/>
  <c r="AH8" i="28"/>
  <c r="Y61" i="4" l="1"/>
  <c r="AH48" i="4"/>
  <c r="AK48" i="4"/>
  <c r="AH53" i="4"/>
  <c r="J111" i="28"/>
  <c r="J102" i="28"/>
  <c r="Q97" i="28"/>
  <c r="Q112" i="28"/>
  <c r="K109" i="28"/>
  <c r="K108" i="28"/>
  <c r="Q114" i="28"/>
  <c r="Q113" i="28"/>
  <c r="Q110" i="28"/>
  <c r="Q109" i="28"/>
  <c r="Q108" i="28"/>
  <c r="Q107" i="28"/>
  <c r="Q106" i="28"/>
  <c r="Q105" i="28"/>
  <c r="Q104" i="28"/>
  <c r="Q103" i="28"/>
  <c r="Q101" i="28"/>
  <c r="Q100" i="28"/>
  <c r="Q98" i="28"/>
  <c r="Q99" i="28"/>
  <c r="J96" i="28"/>
  <c r="Y62" i="4" l="1"/>
  <c r="I373" i="35"/>
  <c r="F373" i="35"/>
  <c r="E212" i="34"/>
  <c r="D202" i="34" s="1"/>
  <c r="D180" i="34"/>
  <c r="D179" i="34"/>
  <c r="D178" i="34"/>
  <c r="D177" i="34"/>
  <c r="D176" i="34"/>
  <c r="D170" i="34"/>
  <c r="D169" i="34"/>
  <c r="D168" i="34"/>
  <c r="D167" i="34"/>
  <c r="D166" i="34"/>
  <c r="D105" i="34"/>
  <c r="D104" i="34"/>
  <c r="D103" i="34"/>
  <c r="D102" i="34"/>
  <c r="D101" i="34"/>
  <c r="D139" i="34"/>
  <c r="D138" i="34"/>
  <c r="D137" i="34"/>
  <c r="D136" i="34"/>
  <c r="D135" i="34"/>
  <c r="D75" i="34"/>
  <c r="D74" i="34"/>
  <c r="D73" i="34"/>
  <c r="D72" i="34"/>
  <c r="D71" i="34"/>
  <c r="D66" i="34"/>
  <c r="D65" i="34"/>
  <c r="D64" i="34"/>
  <c r="D63" i="34"/>
  <c r="D62" i="34"/>
  <c r="D56" i="34"/>
  <c r="D55" i="34"/>
  <c r="D54" i="34"/>
  <c r="D53" i="34"/>
  <c r="D52" i="34"/>
  <c r="D164" i="36"/>
  <c r="D168" i="36"/>
  <c r="D167" i="36"/>
  <c r="D166" i="36"/>
  <c r="D165" i="36"/>
  <c r="C7" i="7"/>
  <c r="C6" i="7"/>
  <c r="C5" i="7"/>
  <c r="D373" i="35" l="1"/>
  <c r="D5" i="7"/>
  <c r="L75" i="28"/>
  <c r="D102" i="36" l="1"/>
  <c r="D101" i="36"/>
  <c r="D100" i="36"/>
  <c r="D99" i="36"/>
  <c r="D98" i="36"/>
  <c r="D72" i="36"/>
  <c r="D71" i="36"/>
  <c r="D70" i="36"/>
  <c r="D69" i="36"/>
  <c r="D68" i="36"/>
  <c r="D63" i="36"/>
  <c r="D62" i="36"/>
  <c r="D61" i="36"/>
  <c r="D60" i="36"/>
  <c r="D59" i="36"/>
  <c r="D150" i="36"/>
  <c r="D149" i="36"/>
  <c r="D148" i="36"/>
  <c r="D147" i="36"/>
  <c r="D146" i="36"/>
  <c r="D140" i="36"/>
  <c r="D139" i="36"/>
  <c r="D138" i="36"/>
  <c r="D137" i="36"/>
  <c r="D136" i="36"/>
  <c r="D131" i="36"/>
  <c r="D130" i="36"/>
  <c r="D129" i="36"/>
  <c r="D128" i="36"/>
  <c r="D127" i="36"/>
  <c r="D121" i="36"/>
  <c r="D120" i="36"/>
  <c r="D119" i="36"/>
  <c r="D118" i="36"/>
  <c r="D117" i="36"/>
  <c r="D112" i="36"/>
  <c r="D111" i="36"/>
  <c r="D110" i="36"/>
  <c r="D109" i="36"/>
  <c r="D108" i="36"/>
  <c r="E93" i="36"/>
  <c r="D85" i="36" s="1"/>
  <c r="D77" i="36" s="1"/>
  <c r="D23" i="36"/>
  <c r="D22" i="36"/>
  <c r="D21" i="36"/>
  <c r="D20" i="36"/>
  <c r="D19" i="36"/>
  <c r="D14" i="36"/>
  <c r="D13" i="36"/>
  <c r="D12" i="36"/>
  <c r="D11" i="36"/>
  <c r="D10" i="36"/>
  <c r="D293" i="35"/>
  <c r="D292" i="35"/>
  <c r="D291" i="35"/>
  <c r="D290" i="35"/>
  <c r="D289" i="35"/>
  <c r="D284" i="35"/>
  <c r="D283" i="35"/>
  <c r="D282" i="35"/>
  <c r="D281" i="35"/>
  <c r="D280" i="35"/>
  <c r="D268" i="35"/>
  <c r="D267" i="35"/>
  <c r="D266" i="35"/>
  <c r="D265" i="35"/>
  <c r="D264" i="35"/>
  <c r="D258" i="35"/>
  <c r="D257" i="35"/>
  <c r="D256" i="35"/>
  <c r="D255" i="35"/>
  <c r="D254" i="35"/>
  <c r="D249" i="35"/>
  <c r="D248" i="35"/>
  <c r="D247" i="35"/>
  <c r="D246" i="35"/>
  <c r="D245" i="35"/>
  <c r="D240" i="35"/>
  <c r="D239" i="35"/>
  <c r="D238" i="35"/>
  <c r="D237" i="35"/>
  <c r="D236" i="35"/>
  <c r="D210" i="35"/>
  <c r="D209" i="35"/>
  <c r="D208" i="35"/>
  <c r="D207" i="35"/>
  <c r="D206" i="35"/>
  <c r="D201" i="35"/>
  <c r="D200" i="35"/>
  <c r="D199" i="35"/>
  <c r="D198" i="35"/>
  <c r="D197" i="35"/>
  <c r="D192" i="35"/>
  <c r="D191" i="35"/>
  <c r="D190" i="35"/>
  <c r="D189" i="35"/>
  <c r="D188" i="35"/>
  <c r="D182" i="35"/>
  <c r="D181" i="35"/>
  <c r="D180" i="35"/>
  <c r="D179" i="35"/>
  <c r="D178" i="35"/>
  <c r="D172" i="35"/>
  <c r="D171" i="35"/>
  <c r="D170" i="35"/>
  <c r="D169" i="35"/>
  <c r="D168" i="35"/>
  <c r="D162" i="35"/>
  <c r="D161" i="35"/>
  <c r="D160" i="35"/>
  <c r="D159" i="35"/>
  <c r="D158" i="35"/>
  <c r="D152" i="35"/>
  <c r="D151" i="35"/>
  <c r="D150" i="35"/>
  <c r="D149" i="35"/>
  <c r="D148" i="35"/>
  <c r="D143" i="35"/>
  <c r="D142" i="35"/>
  <c r="D141" i="35"/>
  <c r="D140" i="35"/>
  <c r="D139" i="35"/>
  <c r="D133" i="35"/>
  <c r="D132" i="35"/>
  <c r="D131" i="35"/>
  <c r="D130" i="35"/>
  <c r="D129" i="35"/>
  <c r="E123" i="35"/>
  <c r="E99" i="35"/>
  <c r="D92" i="35" s="1"/>
  <c r="D84" i="35" s="1"/>
  <c r="D80" i="35"/>
  <c r="D79" i="35"/>
  <c r="D78" i="35"/>
  <c r="D77" i="35"/>
  <c r="D76" i="35"/>
  <c r="D71" i="35"/>
  <c r="D70" i="35"/>
  <c r="D69" i="35"/>
  <c r="D68" i="35"/>
  <c r="D67" i="35"/>
  <c r="E61" i="35"/>
  <c r="E43" i="35"/>
  <c r="D393" i="35"/>
  <c r="D392" i="35"/>
  <c r="D391" i="35"/>
  <c r="D390" i="35"/>
  <c r="D389" i="35"/>
  <c r="D382" i="35"/>
  <c r="D381" i="35"/>
  <c r="D380" i="35"/>
  <c r="D379" i="35"/>
  <c r="D378" i="35"/>
  <c r="D366" i="35"/>
  <c r="D365" i="35"/>
  <c r="D364" i="35"/>
  <c r="D363" i="35"/>
  <c r="D362" i="35"/>
  <c r="D356" i="35"/>
  <c r="D355" i="35"/>
  <c r="D354" i="35"/>
  <c r="D353" i="35"/>
  <c r="D352" i="35"/>
  <c r="D346" i="35"/>
  <c r="D345" i="35"/>
  <c r="D344" i="35"/>
  <c r="D343" i="35"/>
  <c r="D342" i="35"/>
  <c r="E337" i="35"/>
  <c r="D329" i="35" s="1"/>
  <c r="D321" i="35" s="1"/>
  <c r="E317" i="35"/>
  <c r="D306" i="35" s="1"/>
  <c r="D298" i="35" s="1"/>
  <c r="E189" i="34"/>
  <c r="D149" i="34"/>
  <c r="D148" i="34"/>
  <c r="D147" i="34"/>
  <c r="D146" i="34"/>
  <c r="E93" i="34"/>
  <c r="D46" i="34"/>
  <c r="D45" i="34"/>
  <c r="D44" i="34"/>
  <c r="D43" i="34"/>
  <c r="D42" i="34"/>
  <c r="E37" i="34"/>
  <c r="D32" i="34"/>
  <c r="D31" i="34"/>
  <c r="D30" i="34"/>
  <c r="D29" i="34"/>
  <c r="D28" i="34"/>
  <c r="D23" i="34"/>
  <c r="D22" i="34"/>
  <c r="D21" i="34"/>
  <c r="D20" i="34"/>
  <c r="D19" i="34"/>
  <c r="D14" i="34"/>
  <c r="D13" i="34"/>
  <c r="D12" i="34"/>
  <c r="D11" i="34"/>
  <c r="D10" i="34"/>
  <c r="A166" i="34"/>
  <c r="A176" i="34"/>
  <c r="A195" i="34"/>
  <c r="E128" i="34"/>
  <c r="D118" i="34" s="1"/>
  <c r="E230" i="35"/>
  <c r="D223" i="35" s="1"/>
  <c r="H1" i="34"/>
  <c r="H1" i="35"/>
  <c r="E24" i="35"/>
  <c r="D16" i="35" s="1"/>
  <c r="D8" i="35" s="1"/>
  <c r="H1" i="36"/>
  <c r="D111" i="35" l="1"/>
  <c r="D103" i="35" s="1"/>
  <c r="D55" i="35"/>
  <c r="D47" i="35" s="1"/>
  <c r="D38" i="35"/>
  <c r="D29" i="35" s="1"/>
  <c r="D193" i="34"/>
  <c r="L90" i="28" s="1"/>
  <c r="D87" i="34"/>
  <c r="D79" i="34" s="1"/>
  <c r="D215" i="35"/>
  <c r="D216" i="35" s="1"/>
  <c r="D88" i="35"/>
  <c r="D89" i="35"/>
  <c r="D87" i="35"/>
  <c r="D86" i="35"/>
  <c r="D85" i="35"/>
  <c r="D325" i="35"/>
  <c r="D324" i="35"/>
  <c r="D322" i="35"/>
  <c r="D323" i="35"/>
  <c r="D326" i="35"/>
  <c r="D302" i="35"/>
  <c r="D301" i="35"/>
  <c r="D303" i="35"/>
  <c r="D300" i="35"/>
  <c r="D299" i="35"/>
  <c r="D109" i="34"/>
  <c r="D27" i="36"/>
  <c r="L14" i="28" s="1"/>
  <c r="B70" i="38"/>
  <c r="H70" i="38"/>
  <c r="D107" i="35" l="1"/>
  <c r="D108" i="35"/>
  <c r="D106" i="35"/>
  <c r="D105" i="35"/>
  <c r="D104" i="35"/>
  <c r="D50" i="35"/>
  <c r="D49" i="35"/>
  <c r="D48" i="35"/>
  <c r="D52" i="35"/>
  <c r="D51" i="35"/>
  <c r="D35" i="35"/>
  <c r="D31" i="35"/>
  <c r="D34" i="35"/>
  <c r="D33" i="35"/>
  <c r="D32" i="35"/>
  <c r="D196" i="34"/>
  <c r="D199" i="34"/>
  <c r="D198" i="34"/>
  <c r="D195" i="34"/>
  <c r="D197" i="34"/>
  <c r="D115" i="34"/>
  <c r="D114" i="34"/>
  <c r="D113" i="34"/>
  <c r="D112" i="34"/>
  <c r="D111" i="34"/>
  <c r="D84" i="34"/>
  <c r="D83" i="34"/>
  <c r="D82" i="34"/>
  <c r="D81" i="34"/>
  <c r="D80" i="34"/>
  <c r="D218" i="35"/>
  <c r="D220" i="35"/>
  <c r="D219" i="35"/>
  <c r="D217" i="35"/>
  <c r="D80" i="36"/>
  <c r="D82" i="36"/>
  <c r="D78" i="36"/>
  <c r="D81" i="36"/>
  <c r="D79" i="36"/>
  <c r="D31" i="36"/>
  <c r="D30" i="36"/>
  <c r="D33" i="36"/>
  <c r="D32" i="36"/>
  <c r="D29" i="36"/>
  <c r="D10" i="35"/>
  <c r="D9" i="35"/>
  <c r="D13" i="35"/>
  <c r="D12" i="35"/>
  <c r="D11" i="35"/>
  <c r="D7" i="7" l="1"/>
  <c r="Q8" i="28" l="1"/>
  <c r="J12" i="4" l="1"/>
  <c r="D12" i="4" l="1"/>
  <c r="E17" i="4"/>
  <c r="I2" i="28" l="1"/>
  <c r="H2" i="28"/>
  <c r="B6" i="7" l="1"/>
  <c r="L13" i="28" l="1"/>
  <c r="D14" i="4" l="1"/>
  <c r="L88" i="28" l="1"/>
  <c r="L89" i="28"/>
  <c r="L20" i="28"/>
  <c r="L17" i="28"/>
  <c r="L16" i="28"/>
  <c r="L68" i="28"/>
  <c r="L66" i="28"/>
  <c r="L65" i="28"/>
  <c r="L64" i="28"/>
  <c r="L63" i="28"/>
  <c r="L25" i="28"/>
  <c r="L24" i="28"/>
  <c r="L23" i="28"/>
  <c r="L22" i="28"/>
  <c r="L12" i="28"/>
  <c r="L86" i="28"/>
  <c r="L83" i="28"/>
  <c r="L29" i="28"/>
  <c r="L81" i="28"/>
  <c r="L43" i="28"/>
  <c r="L42" i="28"/>
  <c r="L59" i="28"/>
  <c r="L84" i="28"/>
  <c r="L40" i="28"/>
  <c r="L37" i="28"/>
  <c r="L36" i="28"/>
  <c r="L58" i="28"/>
  <c r="L57" i="28"/>
  <c r="L56" i="28"/>
  <c r="L55" i="28"/>
  <c r="L54" i="28"/>
  <c r="L53" i="28"/>
  <c r="L51" i="28"/>
  <c r="L50" i="28"/>
  <c r="L49" i="28"/>
  <c r="L48" i="28"/>
  <c r="L46" i="28"/>
  <c r="L45" i="28"/>
  <c r="L74" i="28"/>
  <c r="L34" i="28"/>
  <c r="L77" i="28"/>
  <c r="L73" i="28"/>
  <c r="L72" i="28"/>
  <c r="L71" i="28"/>
  <c r="L27" i="28" l="1"/>
  <c r="L62" i="28" l="1"/>
  <c r="L61" i="28" l="1"/>
  <c r="L19" i="28"/>
  <c r="L82" i="28"/>
  <c r="L39" i="28"/>
  <c r="L79" i="28"/>
  <c r="L32" i="28"/>
  <c r="L33" i="28"/>
  <c r="L38" i="28"/>
  <c r="U8" i="28"/>
  <c r="T8" i="28"/>
  <c r="S8" i="28"/>
  <c r="R8" i="28"/>
  <c r="V15" i="28" l="1"/>
  <c r="M15" i="28" s="1"/>
  <c r="N15" i="28" s="1"/>
  <c r="J15" i="28" s="1"/>
  <c r="V70" i="28"/>
  <c r="M70" i="28" s="1"/>
  <c r="N70" i="28" s="1"/>
  <c r="V87" i="28"/>
  <c r="M87" i="28" s="1"/>
  <c r="N87" i="28" s="1"/>
  <c r="V76" i="28"/>
  <c r="M76" i="28" s="1"/>
  <c r="N76" i="28" s="1"/>
  <c r="V28" i="28"/>
  <c r="M28" i="28" s="1"/>
  <c r="N28" i="28" s="1"/>
  <c r="V31" i="28"/>
  <c r="M31" i="28" s="1"/>
  <c r="N31" i="28" s="1"/>
  <c r="V72" i="28"/>
  <c r="M72" i="28" s="1"/>
  <c r="V20" i="28"/>
  <c r="M20" i="28" s="1"/>
  <c r="V62" i="28"/>
  <c r="M62" i="28" s="1"/>
  <c r="J320" i="35" s="1"/>
  <c r="V22" i="28"/>
  <c r="M22" i="28" s="1"/>
  <c r="V29" i="28"/>
  <c r="M29" i="28" s="1"/>
  <c r="V37" i="28"/>
  <c r="M37" i="28" s="1"/>
  <c r="V74" i="28"/>
  <c r="M74" i="28" s="1"/>
  <c r="V33" i="28"/>
  <c r="M33" i="28" s="1"/>
  <c r="V71" i="28"/>
  <c r="V89" i="28"/>
  <c r="M89" i="28" s="1"/>
  <c r="V17" i="28"/>
  <c r="M17" i="28" s="1"/>
  <c r="V65" i="28"/>
  <c r="M65" i="28" s="1"/>
  <c r="V61" i="28"/>
  <c r="M61" i="28" s="1"/>
  <c r="J297" i="35" s="1"/>
  <c r="V18" i="28"/>
  <c r="M18" i="28" s="1"/>
  <c r="N18" i="28" s="1"/>
  <c r="V21" i="28"/>
  <c r="M21" i="28" s="1"/>
  <c r="N21" i="28" s="1"/>
  <c r="V13" i="28"/>
  <c r="M13" i="28" s="1"/>
  <c r="V86" i="28"/>
  <c r="M86" i="28" s="1"/>
  <c r="V82" i="28"/>
  <c r="M82" i="28" s="1"/>
  <c r="J108" i="34" s="1"/>
  <c r="J107" i="34" s="1"/>
  <c r="V43" i="28"/>
  <c r="M43" i="28" s="1"/>
  <c r="V84" i="28"/>
  <c r="M84" i="28" s="1"/>
  <c r="V75" i="28"/>
  <c r="M75" i="28" s="1"/>
  <c r="V36" i="28"/>
  <c r="M36" i="28" s="1"/>
  <c r="V56" i="28"/>
  <c r="M56" i="28" s="1"/>
  <c r="V52" i="28"/>
  <c r="M52" i="28" s="1"/>
  <c r="N52" i="28" s="1"/>
  <c r="V48" i="28"/>
  <c r="M48" i="28" s="1"/>
  <c r="V45" i="28"/>
  <c r="M45" i="28" s="1"/>
  <c r="V34" i="28"/>
  <c r="M34" i="28" s="1"/>
  <c r="V19" i="28"/>
  <c r="M19" i="28" s="1"/>
  <c r="V30" i="28"/>
  <c r="M30" i="28" s="1"/>
  <c r="N30" i="28" s="1"/>
  <c r="V49" i="28"/>
  <c r="M49" i="28" s="1"/>
  <c r="V79" i="28"/>
  <c r="M79" i="28" s="1"/>
  <c r="V77" i="28"/>
  <c r="M77" i="28" s="1"/>
  <c r="V88" i="28"/>
  <c r="M88" i="28" s="1"/>
  <c r="V16" i="28"/>
  <c r="M16" i="28" s="1"/>
  <c r="V68" i="28"/>
  <c r="M68" i="28" s="1"/>
  <c r="V64" i="28"/>
  <c r="M64" i="28" s="1"/>
  <c r="V60" i="28"/>
  <c r="M60" i="28" s="1"/>
  <c r="N60" i="28" s="1"/>
  <c r="V27" i="28"/>
  <c r="M27" i="28" s="1"/>
  <c r="J144" i="36" s="1"/>
  <c r="V24" i="28"/>
  <c r="M24" i="28" s="1"/>
  <c r="V12" i="28"/>
  <c r="M12" i="28" s="1"/>
  <c r="V85" i="28"/>
  <c r="M85" i="28" s="1"/>
  <c r="N85" i="28" s="1"/>
  <c r="V81" i="28"/>
  <c r="M81" i="28" s="1"/>
  <c r="V42" i="28"/>
  <c r="M42" i="28" s="1"/>
  <c r="V40" i="28"/>
  <c r="M40" i="28" s="1"/>
  <c r="V39" i="28"/>
  <c r="M39" i="28" s="1"/>
  <c r="V35" i="28"/>
  <c r="M35" i="28" s="1"/>
  <c r="N35" i="28" s="1"/>
  <c r="V55" i="28"/>
  <c r="M55" i="28" s="1"/>
  <c r="V51" i="28"/>
  <c r="M51" i="28" s="1"/>
  <c r="V47" i="28"/>
  <c r="M47" i="28" s="1"/>
  <c r="N47" i="28" s="1"/>
  <c r="V44" i="28"/>
  <c r="M44" i="28" s="1"/>
  <c r="N44" i="28" s="1"/>
  <c r="V9" i="28"/>
  <c r="V90" i="28"/>
  <c r="M90" i="28" s="1"/>
  <c r="V66" i="28"/>
  <c r="M66" i="28" s="1"/>
  <c r="V25" i="28"/>
  <c r="M25" i="28" s="1"/>
  <c r="V69" i="28"/>
  <c r="M69" i="28" s="1"/>
  <c r="N69" i="28" s="1"/>
  <c r="V59" i="28"/>
  <c r="M59" i="28" s="1"/>
  <c r="V57" i="28"/>
  <c r="M57" i="28" s="1"/>
  <c r="J262" i="35" s="1"/>
  <c r="V53" i="28"/>
  <c r="M53" i="28" s="1"/>
  <c r="V78" i="28"/>
  <c r="M78" i="28" s="1"/>
  <c r="N78" i="28" s="1"/>
  <c r="V73" i="28"/>
  <c r="M73" i="28" s="1"/>
  <c r="J26" i="34" s="1"/>
  <c r="V10" i="28"/>
  <c r="V92" i="28"/>
  <c r="M92" i="28" s="1"/>
  <c r="N92" i="28" s="1"/>
  <c r="V67" i="28"/>
  <c r="M67" i="28" s="1"/>
  <c r="N67" i="28" s="1"/>
  <c r="V63" i="28"/>
  <c r="M63" i="28" s="1"/>
  <c r="V91" i="28"/>
  <c r="M91" i="28" s="1"/>
  <c r="N91" i="28" s="1"/>
  <c r="V26" i="28"/>
  <c r="M26" i="28" s="1"/>
  <c r="N26" i="28" s="1"/>
  <c r="V23" i="28"/>
  <c r="M23" i="28" s="1"/>
  <c r="V14" i="28"/>
  <c r="M14" i="28" s="1"/>
  <c r="V11" i="28"/>
  <c r="M11" i="28" s="1"/>
  <c r="N11" i="28" s="1"/>
  <c r="V83" i="28"/>
  <c r="M83" i="28" s="1"/>
  <c r="V80" i="28"/>
  <c r="M80" i="28" s="1"/>
  <c r="N80" i="28" s="1"/>
  <c r="V41" i="28"/>
  <c r="M41" i="28" s="1"/>
  <c r="N41" i="28" s="1"/>
  <c r="V38" i="28"/>
  <c r="M38" i="28" s="1"/>
  <c r="V58" i="28"/>
  <c r="M58" i="28" s="1"/>
  <c r="V54" i="28"/>
  <c r="M54" i="28" s="1"/>
  <c r="V50" i="28"/>
  <c r="M50" i="28" s="1"/>
  <c r="V46" i="28"/>
  <c r="M46" i="28" s="1"/>
  <c r="V32" i="28"/>
  <c r="M32" i="28" s="1"/>
  <c r="B3" i="28"/>
  <c r="J47" i="36" l="1"/>
  <c r="J46" i="36" s="1"/>
  <c r="AL15" i="28"/>
  <c r="AM15" i="28"/>
  <c r="AO15" i="28"/>
  <c r="AN15" i="28"/>
  <c r="N83" i="28"/>
  <c r="J83" i="28" s="1"/>
  <c r="AS83" i="28" s="1"/>
  <c r="J132" i="34"/>
  <c r="J131" i="34" s="1"/>
  <c r="N77" i="28"/>
  <c r="J60" i="34"/>
  <c r="J59" i="34" s="1"/>
  <c r="N66" i="28"/>
  <c r="J66" i="28" s="1"/>
  <c r="J376" i="35"/>
  <c r="J375" i="35" s="1"/>
  <c r="N79" i="28"/>
  <c r="J79" i="28" s="1"/>
  <c r="J78" i="34"/>
  <c r="J77" i="34" s="1"/>
  <c r="N56" i="28"/>
  <c r="J56" i="28" s="1"/>
  <c r="AS56" i="28" s="1"/>
  <c r="J252" i="35"/>
  <c r="J251" i="35" s="1"/>
  <c r="N74" i="28"/>
  <c r="J74" i="28" s="1"/>
  <c r="J40" i="34"/>
  <c r="J39" i="34" s="1"/>
  <c r="N24" i="28"/>
  <c r="J125" i="36"/>
  <c r="J124" i="36" s="1"/>
  <c r="N46" i="28"/>
  <c r="J46" i="28" s="1"/>
  <c r="AS46" i="28" s="1"/>
  <c r="J165" i="35"/>
  <c r="J164" i="35" s="1"/>
  <c r="N36" i="28"/>
  <c r="J65" i="35"/>
  <c r="J64" i="35" s="1"/>
  <c r="N32" i="28"/>
  <c r="J7" i="35"/>
  <c r="J6" i="35" s="1"/>
  <c r="N14" i="28"/>
  <c r="J14" i="28" s="1"/>
  <c r="AS14" i="28" s="1"/>
  <c r="J26" i="36"/>
  <c r="J25" i="36" s="1"/>
  <c r="N40" i="28"/>
  <c r="J40" i="28" s="1"/>
  <c r="AS40" i="28" s="1"/>
  <c r="J126" i="35"/>
  <c r="J125" i="35" s="1"/>
  <c r="N37" i="28"/>
  <c r="J37" i="28" s="1"/>
  <c r="AS37" i="28" s="1"/>
  <c r="J74" i="35"/>
  <c r="J73" i="35" s="1"/>
  <c r="J78" i="28"/>
  <c r="J69" i="34"/>
  <c r="J68" i="34" s="1"/>
  <c r="N64" i="28"/>
  <c r="J64" i="28" s="1"/>
  <c r="F108" i="28" s="1"/>
  <c r="J350" i="35"/>
  <c r="J349" i="35" s="1"/>
  <c r="N75" i="28"/>
  <c r="J75" i="28" s="1"/>
  <c r="AS75" i="28" s="1"/>
  <c r="J50" i="34"/>
  <c r="J49" i="34" s="1"/>
  <c r="N29" i="28"/>
  <c r="J162" i="36"/>
  <c r="J161" i="36" s="1"/>
  <c r="N58" i="28"/>
  <c r="J58" i="28" s="1"/>
  <c r="J278" i="35"/>
  <c r="J277" i="35" s="1"/>
  <c r="N53" i="28"/>
  <c r="J214" i="35"/>
  <c r="J213" i="35" s="1"/>
  <c r="N81" i="28"/>
  <c r="J98" i="34"/>
  <c r="J97" i="34" s="1"/>
  <c r="N68" i="28"/>
  <c r="O67" i="28" s="1"/>
  <c r="J386" i="35"/>
  <c r="J385" i="35" s="1"/>
  <c r="N19" i="28"/>
  <c r="J76" i="36"/>
  <c r="J75" i="36" s="1"/>
  <c r="N84" i="28"/>
  <c r="J84" i="28" s="1"/>
  <c r="AS84" i="28" s="1"/>
  <c r="J142" i="34"/>
  <c r="J141" i="34" s="1"/>
  <c r="N65" i="28"/>
  <c r="J65" i="28" s="1"/>
  <c r="F109" i="28" s="1"/>
  <c r="J359" i="35"/>
  <c r="J358" i="35" s="1"/>
  <c r="N22" i="28"/>
  <c r="J106" i="36"/>
  <c r="J105" i="36" s="1"/>
  <c r="N13" i="28"/>
  <c r="J13" i="28" s="1"/>
  <c r="AS13" i="28" s="1"/>
  <c r="J17" i="36"/>
  <c r="J16" i="36" s="1"/>
  <c r="N39" i="28"/>
  <c r="J39" i="28" s="1"/>
  <c r="AS39" i="28" s="1"/>
  <c r="J102" i="35"/>
  <c r="J101" i="35" s="1"/>
  <c r="N49" i="28"/>
  <c r="J49" i="28" s="1"/>
  <c r="AS49" i="28" s="1"/>
  <c r="J186" i="35"/>
  <c r="J185" i="35" s="1"/>
  <c r="N23" i="28"/>
  <c r="J23" i="28" s="1"/>
  <c r="AS23" i="28" s="1"/>
  <c r="J115" i="36"/>
  <c r="J114" i="36" s="1"/>
  <c r="N42" i="28"/>
  <c r="J137" i="35"/>
  <c r="J136" i="35" s="1"/>
  <c r="N61" i="28"/>
  <c r="J296" i="35"/>
  <c r="N38" i="28"/>
  <c r="J38" i="28" s="1"/>
  <c r="AS38" i="28" s="1"/>
  <c r="J83" i="35"/>
  <c r="J82" i="35" s="1"/>
  <c r="N57" i="28"/>
  <c r="J57" i="28" s="1"/>
  <c r="J261" i="35"/>
  <c r="N16" i="28"/>
  <c r="J56" i="36"/>
  <c r="J55" i="36" s="1"/>
  <c r="N34" i="28"/>
  <c r="J34" i="28" s="1"/>
  <c r="AS34" i="28" s="1"/>
  <c r="J46" i="35"/>
  <c r="J45" i="35" s="1"/>
  <c r="N43" i="28"/>
  <c r="J43" i="28" s="1"/>
  <c r="AS43" i="28" s="1"/>
  <c r="J146" i="35"/>
  <c r="J145" i="35" s="1"/>
  <c r="N17" i="28"/>
  <c r="J17" i="28" s="1"/>
  <c r="J66" i="36"/>
  <c r="J65" i="36" s="1"/>
  <c r="N62" i="28"/>
  <c r="J62" i="28" s="1"/>
  <c r="F106" i="28" s="1"/>
  <c r="J319" i="35"/>
  <c r="N25" i="28"/>
  <c r="J25" i="28" s="1"/>
  <c r="AS25" i="28" s="1"/>
  <c r="J134" i="36"/>
  <c r="J133" i="36" s="1"/>
  <c r="N33" i="28"/>
  <c r="J28" i="35"/>
  <c r="J27" i="35" s="1"/>
  <c r="N27" i="28"/>
  <c r="O26" i="28" s="1"/>
  <c r="J143" i="36"/>
  <c r="N73" i="28"/>
  <c r="J73" i="28" s="1"/>
  <c r="J25" i="34"/>
  <c r="N54" i="28"/>
  <c r="J54" i="28" s="1"/>
  <c r="AS54" i="28" s="1"/>
  <c r="J234" i="35"/>
  <c r="J233" i="35" s="1"/>
  <c r="N63" i="28"/>
  <c r="J63" i="28" s="1"/>
  <c r="F107" i="28" s="1"/>
  <c r="J340" i="35"/>
  <c r="J339" i="35" s="1"/>
  <c r="N59" i="28"/>
  <c r="J59" i="28" s="1"/>
  <c r="AS59" i="28" s="1"/>
  <c r="J287" i="35"/>
  <c r="J286" i="35" s="1"/>
  <c r="N51" i="28"/>
  <c r="J51" i="28" s="1"/>
  <c r="AS51" i="28" s="1"/>
  <c r="J204" i="35"/>
  <c r="J203" i="35" s="1"/>
  <c r="N12" i="28"/>
  <c r="J8" i="36"/>
  <c r="J7" i="36" s="1"/>
  <c r="N88" i="28"/>
  <c r="J163" i="34"/>
  <c r="J162" i="34" s="1"/>
  <c r="N45" i="28"/>
  <c r="J156" i="35"/>
  <c r="J155" i="35" s="1"/>
  <c r="N82" i="28"/>
  <c r="J82" i="28" s="1"/>
  <c r="AS82" i="28" s="1"/>
  <c r="N89" i="28"/>
  <c r="J173" i="34"/>
  <c r="J172" i="34" s="1"/>
  <c r="N20" i="28"/>
  <c r="J20" i="28" s="1"/>
  <c r="J96" i="36"/>
  <c r="J95" i="36" s="1"/>
  <c r="N50" i="28"/>
  <c r="J50" i="28" s="1"/>
  <c r="AS50" i="28" s="1"/>
  <c r="J195" i="35"/>
  <c r="J194" i="35" s="1"/>
  <c r="N90" i="28"/>
  <c r="J192" i="34"/>
  <c r="J191" i="34" s="1"/>
  <c r="N55" i="28"/>
  <c r="J55" i="28" s="1"/>
  <c r="AS55" i="28" s="1"/>
  <c r="J243" i="35"/>
  <c r="J242" i="35" s="1"/>
  <c r="N48" i="28"/>
  <c r="J176" i="35"/>
  <c r="J175" i="35" s="1"/>
  <c r="N86" i="28"/>
  <c r="O85" i="28" s="1"/>
  <c r="J153" i="34"/>
  <c r="J152" i="34" s="1"/>
  <c r="N72" i="28"/>
  <c r="J72" i="28" s="1"/>
  <c r="AS72" i="28" s="1"/>
  <c r="J17" i="34"/>
  <c r="J16" i="34" s="1"/>
  <c r="M71" i="28"/>
  <c r="M106" i="28" l="1"/>
  <c r="V52" i="38"/>
  <c r="O10" i="28"/>
  <c r="M107" i="28"/>
  <c r="V53" i="38"/>
  <c r="M109" i="28"/>
  <c r="V55" i="38"/>
  <c r="M108" i="28"/>
  <c r="V54" i="38"/>
  <c r="J24" i="28"/>
  <c r="AO24" i="28" s="1"/>
  <c r="AS58" i="28"/>
  <c r="F105" i="28"/>
  <c r="AS74" i="28"/>
  <c r="F98" i="28"/>
  <c r="F104" i="28"/>
  <c r="AS57" i="28"/>
  <c r="AS79" i="28"/>
  <c r="F99" i="28"/>
  <c r="AS73" i="28"/>
  <c r="F112" i="28"/>
  <c r="Y49" i="38" s="1"/>
  <c r="AS78" i="28"/>
  <c r="O11" i="28"/>
  <c r="J11" i="28" s="1"/>
  <c r="O60" i="28"/>
  <c r="O52" i="28"/>
  <c r="J52" i="28" s="1"/>
  <c r="O31" i="28"/>
  <c r="J31" i="28" s="1"/>
  <c r="O21" i="28"/>
  <c r="AL59" i="28"/>
  <c r="AM59" i="28"/>
  <c r="AN59" i="28"/>
  <c r="AO59" i="28"/>
  <c r="AL17" i="28"/>
  <c r="AM17" i="28"/>
  <c r="AN17" i="28"/>
  <c r="AO17" i="28"/>
  <c r="AL57" i="28"/>
  <c r="AM57" i="28"/>
  <c r="AN57" i="28"/>
  <c r="AO57" i="28"/>
  <c r="AL23" i="28"/>
  <c r="AM23" i="28"/>
  <c r="AN23" i="28"/>
  <c r="AO23" i="28"/>
  <c r="AL37" i="28"/>
  <c r="AM37" i="28"/>
  <c r="AN37" i="28"/>
  <c r="AO37" i="28"/>
  <c r="AM56" i="28"/>
  <c r="AN56" i="28"/>
  <c r="AO56" i="28"/>
  <c r="AL56" i="28"/>
  <c r="V62" i="4"/>
  <c r="AN83" i="28"/>
  <c r="AM83" i="28"/>
  <c r="AO83" i="28"/>
  <c r="AL83" i="28"/>
  <c r="AL82" i="28"/>
  <c r="AM82" i="28"/>
  <c r="AN82" i="28"/>
  <c r="AO82" i="28"/>
  <c r="AO73" i="28"/>
  <c r="AM73" i="28"/>
  <c r="AL73" i="28"/>
  <c r="AN73" i="28"/>
  <c r="AN78" i="28"/>
  <c r="AO78" i="28"/>
  <c r="AL78" i="28"/>
  <c r="AM78" i="28"/>
  <c r="AL63" i="28"/>
  <c r="AM63" i="28"/>
  <c r="AN63" i="28"/>
  <c r="AO63" i="28"/>
  <c r="AL43" i="28"/>
  <c r="AM43" i="28"/>
  <c r="AN43" i="28"/>
  <c r="AO43" i="28"/>
  <c r="AM38" i="28"/>
  <c r="AO38" i="28"/>
  <c r="AL38" i="28"/>
  <c r="AN38" i="28"/>
  <c r="AL49" i="28"/>
  <c r="AM49" i="28"/>
  <c r="AN49" i="28"/>
  <c r="AO49" i="28"/>
  <c r="AL65" i="28"/>
  <c r="AM65" i="28"/>
  <c r="AN65" i="28"/>
  <c r="AO65" i="28"/>
  <c r="AN75" i="28"/>
  <c r="AM75" i="28"/>
  <c r="AO75" i="28"/>
  <c r="AL75" i="28"/>
  <c r="AN40" i="28"/>
  <c r="AM40" i="28"/>
  <c r="AO40" i="28"/>
  <c r="AL40" i="28"/>
  <c r="V58" i="4"/>
  <c r="AM46" i="28"/>
  <c r="AO46" i="28"/>
  <c r="AL46" i="28"/>
  <c r="AN46" i="28"/>
  <c r="AL51" i="28"/>
  <c r="AM51" i="28"/>
  <c r="AN51" i="28"/>
  <c r="AO51" i="28"/>
  <c r="AM62" i="28"/>
  <c r="AL62" i="28"/>
  <c r="AN62" i="28"/>
  <c r="AO62" i="28"/>
  <c r="AL13" i="28"/>
  <c r="AM13" i="28"/>
  <c r="AN13" i="28"/>
  <c r="AO13" i="28"/>
  <c r="AL74" i="28"/>
  <c r="AM74" i="28"/>
  <c r="AN74" i="28"/>
  <c r="AO74" i="28"/>
  <c r="AL55" i="28"/>
  <c r="AM55" i="28"/>
  <c r="AN55" i="28"/>
  <c r="AO55" i="28"/>
  <c r="AL72" i="28"/>
  <c r="AM72" i="28"/>
  <c r="AN72" i="28"/>
  <c r="AO72" i="28"/>
  <c r="AO58" i="28"/>
  <c r="AN58" i="28"/>
  <c r="AL58" i="28"/>
  <c r="AM58" i="28"/>
  <c r="AM50" i="28"/>
  <c r="AN50" i="28"/>
  <c r="AL50" i="28"/>
  <c r="AO50" i="28"/>
  <c r="V60" i="4"/>
  <c r="AL20" i="28"/>
  <c r="AM20" i="28"/>
  <c r="AN20" i="28"/>
  <c r="AO20" i="28"/>
  <c r="AN54" i="28"/>
  <c r="AM54" i="28"/>
  <c r="AO54" i="28"/>
  <c r="AL54" i="28"/>
  <c r="AL25" i="28"/>
  <c r="AM25" i="28"/>
  <c r="AN25" i="28"/>
  <c r="AO25" i="28"/>
  <c r="S57" i="4"/>
  <c r="AL39" i="28"/>
  <c r="AM39" i="28"/>
  <c r="AN39" i="28"/>
  <c r="AO39" i="28"/>
  <c r="AL84" i="28"/>
  <c r="AM84" i="28"/>
  <c r="AN84" i="28"/>
  <c r="AO84" i="28"/>
  <c r="AM64" i="28"/>
  <c r="AN64" i="28"/>
  <c r="AO64" i="28"/>
  <c r="AL64" i="28"/>
  <c r="AM24" i="28"/>
  <c r="AN66" i="28"/>
  <c r="AO66" i="28"/>
  <c r="AL66" i="28"/>
  <c r="AM66" i="28"/>
  <c r="AL14" i="28"/>
  <c r="AM14" i="28"/>
  <c r="AN14" i="28"/>
  <c r="AO14" i="28"/>
  <c r="AO34" i="28"/>
  <c r="AL34" i="28"/>
  <c r="AM34" i="28"/>
  <c r="AN34" i="28"/>
  <c r="AM79" i="28"/>
  <c r="AN79" i="28"/>
  <c r="AO79" i="28"/>
  <c r="AL79" i="28"/>
  <c r="Y58" i="4"/>
  <c r="O41" i="28"/>
  <c r="J41" i="28" s="1"/>
  <c r="O44" i="28"/>
  <c r="J44" i="28" s="1"/>
  <c r="O18" i="28"/>
  <c r="J18" i="28" s="1"/>
  <c r="J77" i="28"/>
  <c r="AS77" i="28" s="1"/>
  <c r="O76" i="28"/>
  <c r="J76" i="28" s="1"/>
  <c r="O35" i="28"/>
  <c r="J35" i="28" s="1"/>
  <c r="O28" i="28"/>
  <c r="J28" i="28" s="1"/>
  <c r="O87" i="28"/>
  <c r="J87" i="28" s="1"/>
  <c r="O80" i="28"/>
  <c r="J80" i="28" s="1"/>
  <c r="O30" i="28"/>
  <c r="O47" i="28"/>
  <c r="J47" i="28" s="1"/>
  <c r="J29" i="28"/>
  <c r="J22" i="28"/>
  <c r="AS22" i="28" s="1"/>
  <c r="J88" i="28"/>
  <c r="AR98" i="28" s="1"/>
  <c r="J89" i="28"/>
  <c r="F113" i="28" s="1"/>
  <c r="J90" i="28"/>
  <c r="N71" i="28"/>
  <c r="O8" i="28" s="1"/>
  <c r="J8" i="34"/>
  <c r="J7" i="34" s="1"/>
  <c r="J33" i="28"/>
  <c r="AS33" i="28" s="1"/>
  <c r="J32" i="28"/>
  <c r="AS32" i="28" s="1"/>
  <c r="J67" i="28"/>
  <c r="J68" i="28"/>
  <c r="J85" i="28"/>
  <c r="J86" i="28"/>
  <c r="J61" i="28"/>
  <c r="J36" i="28"/>
  <c r="AS36" i="28" s="1"/>
  <c r="J42" i="28"/>
  <c r="AS42" i="28" s="1"/>
  <c r="J16" i="28"/>
  <c r="AR97" i="28" s="1"/>
  <c r="J81" i="28"/>
  <c r="AS81" i="28" s="1"/>
  <c r="J19" i="28"/>
  <c r="AS19" i="28" s="1"/>
  <c r="J48" i="28"/>
  <c r="AS48" i="28" s="1"/>
  <c r="J45" i="28"/>
  <c r="AS45" i="28" s="1"/>
  <c r="J53" i="28"/>
  <c r="J12" i="28"/>
  <c r="J27" i="28"/>
  <c r="AS27" i="28" s="1"/>
  <c r="B7" i="7"/>
  <c r="X46" i="4"/>
  <c r="U46" i="4"/>
  <c r="R46" i="4"/>
  <c r="C42" i="4" s="1"/>
  <c r="B5" i="7" s="1"/>
  <c r="M8" i="4"/>
  <c r="C51" i="2"/>
  <c r="C53" i="2"/>
  <c r="C58" i="2"/>
  <c r="C61" i="2"/>
  <c r="C68" i="2"/>
  <c r="F74" i="2" s="1"/>
  <c r="AS24" i="28" l="1"/>
  <c r="AN24" i="28"/>
  <c r="AL24" i="28"/>
  <c r="M104" i="28"/>
  <c r="V50" i="38"/>
  <c r="W50" i="38" s="1"/>
  <c r="M105" i="28"/>
  <c r="V51" i="38"/>
  <c r="M99" i="28"/>
  <c r="S51" i="38"/>
  <c r="M98" i="28"/>
  <c r="S50" i="38"/>
  <c r="T50" i="38" s="1"/>
  <c r="M113" i="28"/>
  <c r="Y50" i="38"/>
  <c r="Z50" i="38" s="1"/>
  <c r="AR95" i="28"/>
  <c r="AS29" i="28"/>
  <c r="F103" i="28"/>
  <c r="V49" i="38" s="1"/>
  <c r="W49" i="38" s="1"/>
  <c r="AS53" i="28"/>
  <c r="AS86" i="28"/>
  <c r="F100" i="28"/>
  <c r="F114" i="28"/>
  <c r="F110" i="28"/>
  <c r="F101" i="28"/>
  <c r="M112" i="28"/>
  <c r="AR96" i="28"/>
  <c r="AS12" i="28"/>
  <c r="AJ53" i="38"/>
  <c r="AK53" i="38" s="1"/>
  <c r="AJ53" i="4"/>
  <c r="AK53" i="4" s="1"/>
  <c r="AJ52" i="38"/>
  <c r="AK52" i="38" s="1"/>
  <c r="AJ52" i="4"/>
  <c r="AK52" i="4" s="1"/>
  <c r="K5" i="4"/>
  <c r="K5" i="38"/>
  <c r="AL27" i="28"/>
  <c r="AM27" i="28"/>
  <c r="AN27" i="28"/>
  <c r="AO27" i="28"/>
  <c r="AN12" i="28"/>
  <c r="AO12" i="28"/>
  <c r="AL12" i="28"/>
  <c r="AM12" i="28"/>
  <c r="V53" i="4"/>
  <c r="W53" i="4" s="1"/>
  <c r="W53" i="38"/>
  <c r="AL47" i="28"/>
  <c r="AM47" i="28"/>
  <c r="AN47" i="28"/>
  <c r="AO47" i="28"/>
  <c r="AC61" i="4"/>
  <c r="AC62" i="4"/>
  <c r="AL77" i="28"/>
  <c r="AM77" i="28"/>
  <c r="AN77" i="28"/>
  <c r="AO77" i="28"/>
  <c r="AC60" i="4"/>
  <c r="AL45" i="28"/>
  <c r="AM45" i="28"/>
  <c r="AN45" i="28"/>
  <c r="AO45" i="28"/>
  <c r="AL86" i="28"/>
  <c r="AM86" i="28"/>
  <c r="AN86" i="28"/>
  <c r="AO86" i="28"/>
  <c r="AC59" i="4"/>
  <c r="AO48" i="28"/>
  <c r="AN48" i="28"/>
  <c r="AL48" i="28"/>
  <c r="AM48" i="28"/>
  <c r="Z52" i="38"/>
  <c r="AO85" i="28"/>
  <c r="AM85" i="28"/>
  <c r="AL85" i="28"/>
  <c r="AN85" i="28"/>
  <c r="Y59" i="4"/>
  <c r="AL89" i="28"/>
  <c r="AM89" i="28"/>
  <c r="AN89" i="28"/>
  <c r="AO89" i="28"/>
  <c r="Y60" i="4"/>
  <c r="Y51" i="4"/>
  <c r="AL80" i="28"/>
  <c r="AM80" i="28"/>
  <c r="AN80" i="28"/>
  <c r="AO80" i="28"/>
  <c r="AN42" i="28"/>
  <c r="AL42" i="28"/>
  <c r="AM42" i="28"/>
  <c r="AO42" i="28"/>
  <c r="V51" i="4"/>
  <c r="W51" i="4" s="1"/>
  <c r="W51" i="38"/>
  <c r="AL41" i="28"/>
  <c r="AM41" i="28"/>
  <c r="AN41" i="28"/>
  <c r="AO41" i="28"/>
  <c r="I42" i="4"/>
  <c r="AM68" i="28"/>
  <c r="AO68" i="28"/>
  <c r="AN68" i="28"/>
  <c r="AL68" i="28"/>
  <c r="AL88" i="28"/>
  <c r="AN88" i="28"/>
  <c r="AO88" i="28"/>
  <c r="AM88" i="28"/>
  <c r="W52" i="38"/>
  <c r="AN44" i="28"/>
  <c r="AO44" i="28"/>
  <c r="AL44" i="28"/>
  <c r="AM44" i="28"/>
  <c r="V59" i="4"/>
  <c r="V54" i="4"/>
  <c r="W54" i="4" s="1"/>
  <c r="W54" i="38"/>
  <c r="AO52" i="28"/>
  <c r="AL52" i="28"/>
  <c r="AM52" i="28"/>
  <c r="AN52" i="28"/>
  <c r="AO36" i="28"/>
  <c r="AN36" i="28"/>
  <c r="AL36" i="28"/>
  <c r="AM36" i="28"/>
  <c r="AL53" i="28"/>
  <c r="AM53" i="28"/>
  <c r="AN53" i="28"/>
  <c r="AO53" i="28"/>
  <c r="V61" i="4"/>
  <c r="C53" i="4"/>
  <c r="AM81" i="28"/>
  <c r="AN81" i="28"/>
  <c r="AL81" i="28"/>
  <c r="AO81" i="28"/>
  <c r="V56" i="4"/>
  <c r="W56" i="4" s="1"/>
  <c r="AL67" i="28"/>
  <c r="AM67" i="28"/>
  <c r="AN67" i="28"/>
  <c r="AO67" i="28"/>
  <c r="AN22" i="28"/>
  <c r="AO22" i="28"/>
  <c r="AL22" i="28"/>
  <c r="AM22" i="28"/>
  <c r="AL28" i="28"/>
  <c r="AM28" i="28"/>
  <c r="AN28" i="28"/>
  <c r="AO28" i="28"/>
  <c r="S58" i="4"/>
  <c r="AO16" i="28"/>
  <c r="AN16" i="28"/>
  <c r="AL16" i="28"/>
  <c r="AM16" i="28"/>
  <c r="AN32" i="28"/>
  <c r="AM32" i="28"/>
  <c r="AO32" i="28"/>
  <c r="AL32" i="28"/>
  <c r="AL29" i="28"/>
  <c r="AM29" i="28"/>
  <c r="AN29" i="28"/>
  <c r="AO29" i="28"/>
  <c r="AL35" i="28"/>
  <c r="AM35" i="28"/>
  <c r="AN35" i="28"/>
  <c r="AO35" i="28"/>
  <c r="S60" i="4"/>
  <c r="AL19" i="28"/>
  <c r="AM19" i="28"/>
  <c r="AN19" i="28"/>
  <c r="AO19" i="28"/>
  <c r="AO18" i="28"/>
  <c r="AL18" i="28"/>
  <c r="AM18" i="28"/>
  <c r="AN18" i="28"/>
  <c r="S56" i="4"/>
  <c r="S49" i="4"/>
  <c r="AL11" i="28"/>
  <c r="AM11" i="28"/>
  <c r="AN11" i="28"/>
  <c r="AO11" i="28"/>
  <c r="AO61" i="28"/>
  <c r="AL61" i="28"/>
  <c r="AM61" i="28"/>
  <c r="AN61" i="28"/>
  <c r="V63" i="4"/>
  <c r="V49" i="4"/>
  <c r="W49" i="4" s="1"/>
  <c r="AL31" i="28"/>
  <c r="AM31" i="28"/>
  <c r="AN31" i="28"/>
  <c r="AO31" i="28"/>
  <c r="AM33" i="28"/>
  <c r="AO33" i="28"/>
  <c r="AN33" i="28"/>
  <c r="AL33" i="28"/>
  <c r="S59" i="4"/>
  <c r="AL76" i="28"/>
  <c r="AM76" i="28"/>
  <c r="AN76" i="28"/>
  <c r="AO76" i="28"/>
  <c r="V65" i="4"/>
  <c r="Y53" i="4"/>
  <c r="Z53" i="4" s="1"/>
  <c r="Z53" i="38"/>
  <c r="AL87" i="28"/>
  <c r="AM87" i="28"/>
  <c r="AN87" i="28"/>
  <c r="AO87" i="28"/>
  <c r="AO90" i="28"/>
  <c r="AM90" i="28"/>
  <c r="AN90" i="28"/>
  <c r="AL90" i="28"/>
  <c r="S53" i="4"/>
  <c r="T53" i="4" s="1"/>
  <c r="O70" i="28"/>
  <c r="J70" i="28" s="1"/>
  <c r="O69" i="28"/>
  <c r="S9" i="4"/>
  <c r="S10" i="4" s="1"/>
  <c r="Y52" i="4"/>
  <c r="V52" i="4"/>
  <c r="W52" i="4" s="1"/>
  <c r="Y50" i="4"/>
  <c r="Z50" i="4" s="1"/>
  <c r="V50" i="4"/>
  <c r="W50" i="4" s="1"/>
  <c r="S50" i="4"/>
  <c r="T50" i="4" s="1"/>
  <c r="J71" i="28"/>
  <c r="T46" i="4"/>
  <c r="B2" i="28"/>
  <c r="H67" i="4"/>
  <c r="L67" i="4"/>
  <c r="J21" i="28"/>
  <c r="J26" i="28"/>
  <c r="J92" i="28"/>
  <c r="J60" i="28"/>
  <c r="B67" i="4"/>
  <c r="B69" i="4"/>
  <c r="C67" i="2"/>
  <c r="H69" i="4"/>
  <c r="M114" i="28" l="1"/>
  <c r="Y51" i="38"/>
  <c r="Z51" i="38" s="1"/>
  <c r="M110" i="28"/>
  <c r="V56" i="38"/>
  <c r="W56" i="38" s="1"/>
  <c r="M101" i="28"/>
  <c r="S53" i="38"/>
  <c r="T53" i="38" s="1"/>
  <c r="M100" i="28"/>
  <c r="S52" i="38"/>
  <c r="T52" i="38" s="1"/>
  <c r="N102" i="28"/>
  <c r="M103" i="28"/>
  <c r="N111" i="28"/>
  <c r="AS71" i="28"/>
  <c r="AS94" i="28" s="1"/>
  <c r="AJ51" i="38" s="1"/>
  <c r="AK51" i="38" s="1"/>
  <c r="F97" i="28"/>
  <c r="S49" i="38" s="1"/>
  <c r="T49" i="38" s="1"/>
  <c r="AR94" i="28"/>
  <c r="AM71" i="28"/>
  <c r="AN71" i="28"/>
  <c r="AL71" i="28"/>
  <c r="AO71" i="28"/>
  <c r="AJ48" i="4"/>
  <c r="AJ48" i="38"/>
  <c r="AL92" i="28"/>
  <c r="AM92" i="28"/>
  <c r="AN92" i="28"/>
  <c r="AO92" i="28"/>
  <c r="H67" i="38"/>
  <c r="B9" i="7" s="1"/>
  <c r="I42" i="38"/>
  <c r="S52" i="4"/>
  <c r="T52" i="4" s="1"/>
  <c r="AN26" i="28"/>
  <c r="AO26" i="28"/>
  <c r="AL26" i="28"/>
  <c r="AM26" i="28"/>
  <c r="Y49" i="4"/>
  <c r="Z49" i="4" s="1"/>
  <c r="Z49" i="38"/>
  <c r="AL70" i="28"/>
  <c r="AM70" i="28"/>
  <c r="AN70" i="28"/>
  <c r="AO70" i="28"/>
  <c r="C53" i="38"/>
  <c r="L67" i="38"/>
  <c r="B10" i="7" s="1"/>
  <c r="S51" i="4"/>
  <c r="T51" i="4" s="1"/>
  <c r="T51" i="38"/>
  <c r="AL21" i="28"/>
  <c r="AM21" i="28"/>
  <c r="AN21" i="28"/>
  <c r="AO21" i="28"/>
  <c r="V55" i="4"/>
  <c r="W55" i="4" s="1"/>
  <c r="W55" i="38"/>
  <c r="AL60" i="28"/>
  <c r="AM60" i="28"/>
  <c r="AN60" i="28"/>
  <c r="AO60" i="28"/>
  <c r="J8" i="28"/>
  <c r="S11" i="4"/>
  <c r="S15" i="4" s="1"/>
  <c r="F25" i="4"/>
  <c r="J10" i="28"/>
  <c r="J9" i="28"/>
  <c r="J69" i="28"/>
  <c r="Z46" i="4"/>
  <c r="J91" i="28"/>
  <c r="J30" i="28"/>
  <c r="W46" i="4"/>
  <c r="D11" i="7"/>
  <c r="H70" i="4"/>
  <c r="B70" i="4"/>
  <c r="L68" i="4"/>
  <c r="D6" i="7"/>
  <c r="B68" i="4"/>
  <c r="D4" i="7"/>
  <c r="O111" i="28" l="1"/>
  <c r="B66" i="4"/>
  <c r="B66" i="38"/>
  <c r="L66" i="38"/>
  <c r="L70" i="38"/>
  <c r="L66" i="4"/>
  <c r="L70" i="4"/>
  <c r="I111" i="28"/>
  <c r="Z46" i="38"/>
  <c r="O102" i="28"/>
  <c r="AJ51" i="4"/>
  <c r="AK51" i="4" s="1"/>
  <c r="N96" i="28"/>
  <c r="M97" i="28"/>
  <c r="AG48" i="4"/>
  <c r="AG48" i="38"/>
  <c r="AM91" i="28"/>
  <c r="AN91" i="28"/>
  <c r="AL91" i="28"/>
  <c r="AO91" i="28"/>
  <c r="H68" i="4"/>
  <c r="S46" i="4"/>
  <c r="H43" i="4" s="1"/>
  <c r="AL10" i="28"/>
  <c r="AM10" i="28"/>
  <c r="AO10" i="28"/>
  <c r="AN10" i="28"/>
  <c r="AL30" i="28"/>
  <c r="AM30" i="28"/>
  <c r="AN30" i="28"/>
  <c r="AO30" i="28"/>
  <c r="V64" i="4"/>
  <c r="AL69" i="28"/>
  <c r="AM69" i="28"/>
  <c r="AN69" i="28"/>
  <c r="AO69" i="28"/>
  <c r="S12" i="4"/>
  <c r="D25" i="4" s="1"/>
  <c r="Y46" i="4"/>
  <c r="H54" i="4" s="1"/>
  <c r="V46" i="4"/>
  <c r="N43" i="4" s="1"/>
  <c r="K11" i="4"/>
  <c r="J11" i="4"/>
  <c r="H11" i="4"/>
  <c r="I102" i="28" l="1"/>
  <c r="W46" i="38"/>
  <c r="Z9" i="38"/>
  <c r="Y46" i="38"/>
  <c r="H54" i="38" s="1"/>
  <c r="O96" i="28"/>
  <c r="I96" i="28" s="1"/>
  <c r="Z10" i="4"/>
  <c r="AO8" i="28"/>
  <c r="AC53" i="38" s="1"/>
  <c r="AD53" i="38" s="1"/>
  <c r="AM8" i="28"/>
  <c r="AC51" i="38" s="1"/>
  <c r="AD51" i="38" s="1"/>
  <c r="AN8" i="28"/>
  <c r="AC52" i="38" s="1"/>
  <c r="AD52" i="38" s="1"/>
  <c r="AL8" i="28"/>
  <c r="F13" i="4"/>
  <c r="Z8" i="38" l="1"/>
  <c r="V46" i="38"/>
  <c r="N43" i="38" s="1"/>
  <c r="Z10" i="38"/>
  <c r="S46" i="38"/>
  <c r="H43" i="38" s="1"/>
  <c r="J95" i="28"/>
  <c r="S9" i="38" s="1"/>
  <c r="S10" i="38" s="1"/>
  <c r="F25" i="38" s="1"/>
  <c r="T46" i="38"/>
  <c r="AC50" i="4"/>
  <c r="AD50" i="4" s="1"/>
  <c r="AC51" i="4"/>
  <c r="AD51" i="4" s="1"/>
  <c r="AC52" i="4"/>
  <c r="AD52" i="4" s="1"/>
  <c r="AC53" i="4"/>
  <c r="AD53" i="4" s="1"/>
  <c r="AC50" i="38"/>
  <c r="AD50" i="38" s="1"/>
  <c r="F1" i="7"/>
  <c r="J17" i="4"/>
  <c r="J16" i="4"/>
  <c r="E16" i="4"/>
  <c r="J15" i="4"/>
  <c r="E15" i="4"/>
  <c r="J13" i="4"/>
  <c r="D13" i="4"/>
  <c r="D11" i="4"/>
  <c r="J10" i="4"/>
  <c r="D10" i="4"/>
  <c r="J9" i="4"/>
  <c r="D9" i="4"/>
  <c r="J8" i="4"/>
  <c r="D8" i="4"/>
  <c r="N5" i="4"/>
  <c r="R69" i="2"/>
  <c r="R68" i="2"/>
  <c r="L68" i="2"/>
  <c r="N67" i="2"/>
  <c r="O67" i="2" s="1"/>
  <c r="R66" i="2"/>
  <c r="J66" i="2"/>
  <c r="L66" i="2" s="1"/>
  <c r="R65" i="2"/>
  <c r="J65" i="2"/>
  <c r="N65" i="2" s="1"/>
  <c r="R64" i="2"/>
  <c r="J64" i="2"/>
  <c r="N64" i="2" s="1"/>
  <c r="R63" i="2"/>
  <c r="N63" i="2"/>
  <c r="O63" i="2" s="1"/>
  <c r="R62" i="2"/>
  <c r="N62" i="2"/>
  <c r="O62" i="2" s="1"/>
  <c r="R61" i="2"/>
  <c r="R60" i="2"/>
  <c r="J60" i="2"/>
  <c r="N60" i="2" s="1"/>
  <c r="R59" i="2"/>
  <c r="N59" i="2"/>
  <c r="O59" i="2" s="1"/>
  <c r="R58" i="2"/>
  <c r="R57" i="2"/>
  <c r="N57" i="2"/>
  <c r="O57" i="2" s="1"/>
  <c r="R56" i="2"/>
  <c r="N56" i="2"/>
  <c r="O56" i="2" s="1"/>
  <c r="R55" i="2"/>
  <c r="N55" i="2"/>
  <c r="O55" i="2" s="1"/>
  <c r="R54" i="2"/>
  <c r="N54" i="2"/>
  <c r="O54" i="2" s="1"/>
  <c r="R53" i="2"/>
  <c r="R52" i="2"/>
  <c r="N52" i="2"/>
  <c r="O52" i="2" s="1"/>
  <c r="R51" i="2"/>
  <c r="D43" i="2"/>
  <c r="S11" i="38" l="1"/>
  <c r="S12" i="38" s="1"/>
  <c r="D25" i="38" s="1"/>
  <c r="L65" i="2"/>
  <c r="L70" i="2" s="1"/>
  <c r="N66" i="2"/>
  <c r="J61" i="2"/>
  <c r="N61" i="2" s="1"/>
  <c r="J53" i="2"/>
  <c r="J58" i="2"/>
  <c r="J51" i="2"/>
  <c r="O65" i="2"/>
  <c r="J68" i="2"/>
  <c r="O60" i="2"/>
  <c r="O66" i="2"/>
  <c r="O64" i="2"/>
  <c r="S15" i="38" l="1"/>
  <c r="S16" i="38" s="1"/>
  <c r="N53" i="2"/>
  <c r="O61" i="2"/>
  <c r="N51" i="2"/>
  <c r="N68" i="2"/>
  <c r="O68" i="2" s="1"/>
  <c r="N58" i="2"/>
  <c r="J70" i="2"/>
  <c r="O51" i="2" l="1"/>
  <c r="O53" i="2"/>
  <c r="K68" i="2"/>
  <c r="O70" i="2"/>
  <c r="K60" i="2"/>
  <c r="K53" i="2"/>
  <c r="K70" i="2"/>
  <c r="K66" i="2"/>
  <c r="K64" i="2"/>
  <c r="O58" i="2"/>
  <c r="K65" i="2"/>
  <c r="K61" i="2"/>
  <c r="K51" i="2"/>
  <c r="K58" i="2"/>
  <c r="O71" i="2" l="1"/>
  <c r="T49" i="4" l="1"/>
  <c r="Z51" i="4" l="1"/>
  <c r="Z9" i="4"/>
  <c r="Z52" i="4"/>
  <c r="Z8" i="4" l="1"/>
  <c r="S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100-000001000000}">
      <text>
        <r>
          <rPr>
            <sz val="9"/>
            <color indexed="81"/>
            <rFont val="ＭＳ Ｐゴシック"/>
            <family val="3"/>
            <charset val="128"/>
          </rPr>
          <t>2003/6等と入力して下さい。
2003年6月と表示されます。</t>
        </r>
      </text>
    </comment>
    <comment ref="C39" authorId="0" shapeId="0" xr:uid="{00000000-0006-0000-0100-000002000000}">
      <text>
        <r>
          <rPr>
            <sz val="9"/>
            <color indexed="81"/>
            <rFont val="ＭＳ Ｐゴシック"/>
            <family val="3"/>
            <charset val="128"/>
          </rPr>
          <t>2003/6/15等と入力して下さい。
2003年6月15日と表示されます。</t>
        </r>
      </text>
    </comment>
    <comment ref="B41" authorId="1" shapeId="0" xr:uid="{00000000-0006-0000-0100-000003000000}">
      <text>
        <r>
          <rPr>
            <sz val="9"/>
            <color indexed="81"/>
            <rFont val="ＭＳ Ｐゴシック"/>
            <family val="3"/>
            <charset val="128"/>
          </rPr>
          <t>第３者による評価結果の確認などを行っている場合は記述する。</t>
        </r>
      </text>
    </comment>
    <comment ref="C41" authorId="0" shapeId="0" xr:uid="{00000000-0006-0000-0100-000004000000}">
      <text>
        <r>
          <rPr>
            <sz val="9"/>
            <color indexed="81"/>
            <rFont val="ＭＳ Ｐゴシック"/>
            <family val="3"/>
            <charset val="128"/>
          </rPr>
          <t>2003/6/15等と入力して下さい。
2003年6月15日と表示されます。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300-00000100000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<sst xmlns="http://schemas.openxmlformats.org/spreadsheetml/2006/main" count="1916" uniqueCount="1080">
  <si>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</si>
  <si>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</si>
  <si>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</si>
  <si>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</si>
  <si>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</si>
  <si>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</si>
  <si>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</si>
  <si>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</si>
  <si>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商業地域、防火地域</t>
    <rPh sb="0" eb="2">
      <t>ショウギョウ</t>
    </rPh>
    <rPh sb="2" eb="4">
      <t>チイキ</t>
    </rPh>
    <rPh sb="5" eb="7">
      <t>ボウカ</t>
    </rPh>
    <rPh sb="7" eb="9">
      <t>チイキ</t>
    </rPh>
    <phoneticPr fontId="23"/>
  </si>
  <si>
    <t>地上○○F</t>
    <rPh sb="0" eb="2">
      <t>チジョウ</t>
    </rPh>
    <phoneticPr fontId="23"/>
  </si>
  <si>
    <t>用途地域</t>
    <rPh sb="0" eb="2">
      <t>ﾖｳﾄ</t>
    </rPh>
    <rPh sb="2" eb="4">
      <t>ﾁｲｷ</t>
    </rPh>
    <phoneticPr fontId="35" type="noConversion"/>
  </si>
  <si>
    <t>●標準計算</t>
    <rPh sb="1" eb="3">
      <t>ヒョウジュン</t>
    </rPh>
    <rPh sb="3" eb="5">
      <t>ケイサン</t>
    </rPh>
    <phoneticPr fontId="23"/>
  </si>
  <si>
    <t>●個別計算</t>
    <rPh sb="1" eb="3">
      <t>コベツ</t>
    </rPh>
    <rPh sb="3" eb="5">
      <t>ケイサン</t>
    </rPh>
    <phoneticPr fontId="23"/>
  </si>
  <si>
    <t>レベル３を満たさない。</t>
  </si>
  <si>
    <t>簡易評価</t>
    <rPh sb="0" eb="2">
      <t>カンイ</t>
    </rPh>
    <rPh sb="2" eb="4">
      <t>ヒョウカ</t>
    </rPh>
    <phoneticPr fontId="23"/>
  </si>
  <si>
    <t>○○○</t>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</si>
  <si>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</si>
  <si>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</si>
  <si>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</si>
  <si>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</si>
  <si>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</si>
  <si>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</si>
  <si>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</si>
  <si>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</si>
  <si>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</si>
  <si>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</si>
  <si>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</si>
  <si>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</si>
  <si>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</si>
  <si>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</si>
  <si>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</si>
  <si>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</si>
  <si>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</si>
  <si>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</si>
  <si>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</si>
  <si>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</si>
  <si>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</si>
  <si>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</si>
  <si>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</si>
  <si>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</si>
  <si>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共用部</t>
    <rPh sb="0" eb="3">
      <t>キョウヨウブ</t>
    </rPh>
    <phoneticPr fontId="23"/>
  </si>
  <si>
    <t>人・時間あたり指標</t>
    <rPh sb="0" eb="1">
      <t>ニン</t>
    </rPh>
    <rPh sb="2" eb="4">
      <t>ジカン</t>
    </rPh>
    <rPh sb="7" eb="9">
      <t>シヒョウ</t>
    </rPh>
    <phoneticPr fontId="23"/>
  </si>
  <si>
    <t>竣工年</t>
    <rPh sb="0" eb="2">
      <t>ｼｭﾝｺｳ</t>
    </rPh>
    <rPh sb="2" eb="3">
      <t>ﾈﾝ</t>
    </rPh>
    <phoneticPr fontId="35" type="noConversion"/>
  </si>
  <si>
    <t>評価の実施日</t>
    <rPh sb="0" eb="2">
      <t>ヒョウカ</t>
    </rPh>
    <rPh sb="3" eb="6">
      <t>ジッシビ</t>
    </rPh>
    <phoneticPr fontId="23"/>
  </si>
  <si>
    <t>敷地面積</t>
    <rPh sb="0" eb="2">
      <t>ｼｷﾁ</t>
    </rPh>
    <rPh sb="2" eb="4">
      <t>ﾒﾝｾｷ</t>
    </rPh>
    <phoneticPr fontId="35" type="noConversion"/>
  </si>
  <si>
    <t>作成者</t>
    <rPh sb="0" eb="3">
      <t>サクセイシャ</t>
    </rPh>
    <phoneticPr fontId="23"/>
  </si>
  <si>
    <t>建築面積</t>
    <rPh sb="0" eb="2">
      <t>ｹﾝﾁｸ</t>
    </rPh>
    <rPh sb="2" eb="4">
      <t>ﾒﾝｾｷ</t>
    </rPh>
    <phoneticPr fontId="35" type="noConversion"/>
  </si>
  <si>
    <t>確認日</t>
    <rPh sb="0" eb="2">
      <t>カクニン</t>
    </rPh>
    <rPh sb="2" eb="3">
      <t>ビ</t>
    </rPh>
    <phoneticPr fontId="23"/>
  </si>
  <si>
    <t>延床面積</t>
    <rPh sb="0" eb="1">
      <t>ﾉ</t>
    </rPh>
    <rPh sb="1" eb="4">
      <t>ﾕｶﾒﾝｾｷ</t>
    </rPh>
    <phoneticPr fontId="35"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</si>
  <si>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</si>
  <si>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</si>
  <si>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</si>
  <si>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</si>
  <si>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</si>
  <si>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</si>
  <si>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</si>
  <si>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</si>
  <si>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</si>
  <si>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</si>
  <si>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</si>
  <si>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t>○○ビル</t>
    <phoneticPr fontId="23"/>
  </si>
  <si>
    <t>XXX</t>
    <phoneticPr fontId="23"/>
  </si>
  <si>
    <t>㎡</t>
    <phoneticPr fontId="23"/>
  </si>
  <si>
    <t>XXX</t>
    <phoneticPr fontId="23"/>
  </si>
  <si>
    <t>㎡</t>
    <phoneticPr fontId="23"/>
  </si>
  <si>
    <t>○○</t>
    <phoneticPr fontId="23"/>
  </si>
  <si>
    <t>XX</t>
    <phoneticPr fontId="23"/>
  </si>
  <si>
    <t>XXX</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</si>
  <si>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</si>
  <si>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</si>
  <si>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</si>
  <si>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</si>
  <si>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</si>
  <si>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運用</t>
    <rPh sb="0" eb="2">
      <t>ウンヨウ</t>
    </rPh>
    <phoneticPr fontId="23"/>
  </si>
  <si>
    <t>Score</t>
    <phoneticPr fontId="23"/>
  </si>
  <si>
    <t>㎡</t>
    <phoneticPr fontId="35" type="noConversion"/>
  </si>
  <si>
    <t>㎡</t>
    <phoneticPr fontId="35" type="noConversion"/>
  </si>
  <si>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</si>
  <si>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</si>
  <si>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</si>
  <si>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</si>
  <si>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</si>
  <si>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</si>
  <si>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</si>
  <si>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</si>
  <si>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</si>
  <si>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</si>
  <si>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</si>
  <si>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</si>
  <si>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光・視環境</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</si>
  <si>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</si>
  <si>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</si>
  <si>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</si>
  <si>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</si>
  <si>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</si>
  <si>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</si>
  <si>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</si>
  <si>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</si>
  <si>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</si>
  <si>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</si>
  <si>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</si>
  <si>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</si>
  <si>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</si>
  <si>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</si>
  <si>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</si>
  <si>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</si>
  <si>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</si>
  <si>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</si>
  <si>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</si>
  <si>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</si>
  <si>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</si>
  <si>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</si>
  <si>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3"/>
  </si>
  <si>
    <t>　レベル　1</t>
    <phoneticPr fontId="23"/>
  </si>
  <si>
    <t>■レベル　1</t>
    <phoneticPr fontId="23"/>
  </si>
  <si>
    <t>レベル</t>
    <phoneticPr fontId="23"/>
  </si>
  <si>
    <t>　レベル　4</t>
  </si>
  <si>
    <t>■レベル　4</t>
  </si>
  <si>
    <t>[騒音レベル] ≦40</t>
  </si>
  <si>
    <t>　レベル　5</t>
  </si>
  <si>
    <t>■レベル　5</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</si>
  <si>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</si>
  <si>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</si>
  <si>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</si>
  <si>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</si>
  <si>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</si>
  <si>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　レベル　3</t>
  </si>
  <si>
    <t>■レベル　3</t>
  </si>
  <si>
    <t>小中（北海道）</t>
    <rPh sb="0" eb="1">
      <t>ショウ</t>
    </rPh>
    <rPh sb="1" eb="2">
      <t>チュウ</t>
    </rPh>
    <rPh sb="3" eb="6">
      <t>ホッカイドウ</t>
    </rPh>
    <phoneticPr fontId="23"/>
  </si>
  <si>
    <t>小中（その他）</t>
    <rPh sb="0" eb="2">
      <t>ショウチュウ</t>
    </rPh>
    <rPh sb="5" eb="6">
      <t>ホカ</t>
    </rPh>
    <phoneticPr fontId="23"/>
  </si>
  <si>
    <t>ratio</t>
    <phoneticPr fontId="23"/>
  </si>
  <si>
    <t>&lt;評価しない&gt;</t>
    <rPh sb="1" eb="3">
      <t>ヒョウカ</t>
    </rPh>
    <phoneticPr fontId="23"/>
  </si>
  <si>
    <t>音環境</t>
    <rPh sb="0" eb="1">
      <t>オト</t>
    </rPh>
    <rPh sb="1" eb="3">
      <t>カンキョウ</t>
    </rPh>
    <phoneticPr fontId="23"/>
  </si>
  <si>
    <t>50＜ [騒音レベル]</t>
  </si>
  <si>
    <t>Score(RoundDown)</t>
    <phoneticPr fontId="23"/>
  </si>
  <si>
    <t>NA</t>
    <phoneticPr fontId="23"/>
  </si>
  <si>
    <t>Score(RoundDown)</t>
    <phoneticPr fontId="23"/>
  </si>
  <si>
    <t>Score</t>
    <phoneticPr fontId="23"/>
  </si>
  <si>
    <t>Score(RoundDown)</t>
    <phoneticPr fontId="23"/>
  </si>
  <si>
    <t>NA</t>
    <phoneticPr fontId="23"/>
  </si>
  <si>
    <t>その他</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</si>
  <si>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</si>
  <si>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</si>
  <si>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</si>
  <si>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（該当するレベルなし）</t>
  </si>
  <si>
    <t>光・視環境</t>
    <rPh sb="0" eb="1">
      <t>ﾋｶﾘ</t>
    </rPh>
    <rPh sb="2" eb="3">
      <t>ｼ</t>
    </rPh>
    <rPh sb="3" eb="5">
      <t>ｶﾝｷｮｳ</t>
    </rPh>
    <phoneticPr fontId="35" type="noConversion"/>
  </si>
  <si>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</si>
  <si>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</si>
  <si>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</si>
  <si>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</si>
  <si>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</si>
  <si>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</si>
  <si>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</si>
  <si>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</si>
  <si>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</si>
  <si>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t>
    <phoneticPr fontId="23"/>
  </si>
  <si>
    <t>ON</t>
    <phoneticPr fontId="23"/>
  </si>
  <si>
    <t>デパート・スーパー</t>
  </si>
  <si>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</si>
  <si>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</si>
  <si>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</si>
  <si>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</si>
  <si>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</si>
  <si>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t>LCCO2算定条件シート</t>
    <rPh sb="5" eb="7">
      <t>サンテイ</t>
    </rPh>
    <rPh sb="7" eb="9">
      <t>ジョウケン</t>
    </rPh>
    <phoneticPr fontId="23"/>
  </si>
  <si>
    <t>レベル２を満たさない。</t>
  </si>
  <si>
    <t xml:space="preserve"> 非住宅　小計</t>
    <rPh sb="1" eb="2">
      <t>ヒ</t>
    </rPh>
    <rPh sb="2" eb="4">
      <t>ジュウタク</t>
    </rPh>
    <rPh sb="5" eb="7">
      <t>ショウケイ</t>
    </rPh>
    <phoneticPr fontId="23"/>
  </si>
  <si>
    <t>集合住宅</t>
    <rPh sb="0" eb="2">
      <t>シュウゴウ</t>
    </rPh>
    <rPh sb="2" eb="4">
      <t>ジュウタク</t>
    </rPh>
    <phoneticPr fontId="23"/>
  </si>
  <si>
    <t>1）概要入力</t>
    <rPh sb="2" eb="4">
      <t>ガイヨウ</t>
    </rPh>
    <rPh sb="4" eb="6">
      <t>ニュウリョク</t>
    </rPh>
    <phoneticPr fontId="23"/>
  </si>
  <si>
    <t>① 建物概要</t>
    <rPh sb="2" eb="4">
      <t>タテモノ</t>
    </rPh>
    <rPh sb="4" eb="6">
      <t>ガイヨウ</t>
    </rPh>
    <phoneticPr fontId="23"/>
  </si>
  <si>
    <t>○○県○○市</t>
    <rPh sb="2" eb="3">
      <t>ケン</t>
    </rPh>
    <rPh sb="5" eb="6">
      <t>シ</t>
    </rPh>
    <phoneticPr fontId="23"/>
  </si>
  <si>
    <t>評価点</t>
    <rPh sb="0" eb="3">
      <t>ヒョウカテン</t>
    </rPh>
    <phoneticPr fontId="23"/>
  </si>
  <si>
    <t>音環境</t>
    <rPh sb="0" eb="1">
      <t>ｵﾄ</t>
    </rPh>
    <rPh sb="1" eb="3">
      <t>ｶﾝｷｮｳ</t>
    </rPh>
    <phoneticPr fontId="35" type="noConversion"/>
  </si>
  <si>
    <t>■使用評価マニュアル：</t>
    <rPh sb="1" eb="3">
      <t>シヨウ</t>
    </rPh>
    <rPh sb="3" eb="5">
      <t>ヒョウカ</t>
    </rPh>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</si>
  <si>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</si>
  <si>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</si>
  <si>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</si>
  <si>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3"/>
  </si>
  <si>
    <t>radar chart</t>
    <phoneticPr fontId="23"/>
  </si>
  <si>
    <t>建物名称</t>
    <rPh sb="0" eb="2">
      <t>ﾀﾃﾓﾉ</t>
    </rPh>
    <rPh sb="2" eb="4">
      <t>ﾒｲｼｮｳ</t>
    </rPh>
    <phoneticPr fontId="35" type="noConversion"/>
  </si>
  <si>
    <t>階数</t>
    <rPh sb="0" eb="2">
      <t>カイスウ</t>
    </rPh>
    <phoneticPr fontId="23"/>
  </si>
  <si>
    <t>radar chart</t>
  </si>
  <si>
    <t>Score(RoundDown)</t>
    <phoneticPr fontId="23"/>
  </si>
  <si>
    <t>建設地</t>
    <rPh sb="0" eb="3">
      <t>ｹﾝｾﾂﾁ</t>
    </rPh>
    <phoneticPr fontId="35" type="noConversion"/>
  </si>
  <si>
    <t>構造</t>
    <rPh sb="0" eb="2">
      <t>コウゾウ</t>
    </rPh>
    <phoneticPr fontId="23"/>
  </si>
  <si>
    <t>平均居住人員</t>
    <rPh sb="0" eb="2">
      <t>ﾍｲｷﾝ</t>
    </rPh>
    <rPh sb="2" eb="4">
      <t>ｷｮｼﾞｭｳ</t>
    </rPh>
    <rPh sb="4" eb="6">
      <t>ｼﾞﾝｲﾝ</t>
    </rPh>
    <phoneticPr fontId="35" type="noConversion"/>
  </si>
  <si>
    <t>人</t>
    <rPh sb="0" eb="1">
      <t>ニン</t>
    </rPh>
    <phoneticPr fontId="23"/>
  </si>
  <si>
    <t>建物用途</t>
    <rPh sb="0" eb="2">
      <t>ﾀﾃﾓﾉ</t>
    </rPh>
    <rPh sb="2" eb="4">
      <t>ﾖｳﾄ</t>
    </rPh>
    <phoneticPr fontId="35" type="noConversion"/>
  </si>
  <si>
    <t>評価の段階</t>
    <rPh sb="0" eb="2">
      <t>ヒョウカ</t>
    </rPh>
    <rPh sb="3" eb="5">
      <t>ダンカイ</t>
    </rPh>
    <phoneticPr fontId="23"/>
  </si>
  <si>
    <t>外観パース等</t>
    <rPh sb="0" eb="2">
      <t>ガイカン</t>
    </rPh>
    <rPh sb="5" eb="6">
      <t>トウ</t>
    </rPh>
    <phoneticPr fontId="23"/>
  </si>
  <si>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</si>
  <si>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</si>
  <si>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</si>
  <si>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</si>
  <si>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</si>
  <si>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</si>
  <si>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高校</t>
  </si>
  <si>
    <t>大学・専門学校</t>
  </si>
  <si>
    <t>集会所等</t>
    <rPh sb="0" eb="3">
      <t>シュウカイジョ</t>
    </rPh>
    <rPh sb="3" eb="4">
      <t>トウ</t>
    </rPh>
    <phoneticPr fontId="23"/>
  </si>
  <si>
    <t>劇場・ホール</t>
  </si>
  <si>
    <t>展示施設</t>
  </si>
  <si>
    <t>スポーツ施設</t>
  </si>
  <si>
    <t>-</t>
  </si>
  <si>
    <t>専有部</t>
    <rPh sb="0" eb="2">
      <t>センユウ</t>
    </rPh>
    <rPh sb="2" eb="3">
      <t>ブ</t>
    </rPh>
    <phoneticPr fontId="23"/>
  </si>
  <si>
    <t>㎡</t>
  </si>
  <si>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</si>
  <si>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</si>
  <si>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</si>
  <si>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</si>
  <si>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</si>
  <si>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</si>
  <si>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</si>
  <si>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</si>
  <si>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小・中学校 (北海道以外）</t>
    <rPh sb="0" eb="1">
      <t>ショウ</t>
    </rPh>
    <rPh sb="2" eb="5">
      <t>チュウガッコウ</t>
    </rPh>
    <rPh sb="7" eb="10">
      <t>ホッカイドウ</t>
    </rPh>
    <rPh sb="10" eb="12">
      <t>イガイ</t>
    </rPh>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</si>
  <si>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</si>
  <si>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</si>
  <si>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</si>
  <si>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</si>
  <si>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</si>
  <si>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                  専用部</t>
    <rPh sb="19" eb="21">
      <t>センヨウ</t>
    </rPh>
    <rPh sb="21" eb="22">
      <t>ブ</t>
    </rPh>
    <phoneticPr fontId="23"/>
  </si>
  <si>
    <t>評価対象</t>
    <rPh sb="0" eb="2">
      <t>ヒョウカ</t>
    </rPh>
    <rPh sb="2" eb="4">
      <t>タイショウ</t>
    </rPh>
    <phoneticPr fontId="23"/>
  </si>
  <si>
    <t>㎡</t>
    <phoneticPr fontId="23"/>
  </si>
  <si>
    <t>background</t>
    <phoneticPr fontId="23"/>
  </si>
  <si>
    <t>Score(RoundDown)</t>
    <phoneticPr fontId="23"/>
  </si>
  <si>
    <t>std</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</si>
  <si>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</si>
  <si>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</si>
  <si>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</si>
  <si>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</si>
  <si>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</si>
  <si>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</si>
  <si>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</si>
  <si>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</si>
  <si>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</si>
  <si>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</si>
  <si>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</si>
  <si>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</si>
  <si>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3"/>
  </si>
  <si>
    <t>←　直接入力</t>
    <rPh sb="2" eb="4">
      <t>チョクセツ</t>
    </rPh>
    <rPh sb="4" eb="6">
      <t>ニュウリョク</t>
    </rPh>
    <phoneticPr fontId="23"/>
  </si>
  <si>
    <t>○</t>
  </si>
  <si>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</si>
  <si>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</si>
  <si>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</si>
  <si>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</si>
  <si>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</si>
  <si>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備考　　　　注1：</t>
    <rPh sb="6" eb="7">
      <t>チュウ</t>
    </rPh>
    <phoneticPr fontId="23"/>
  </si>
  <si>
    <t>図を貼り付けるときは</t>
    <rPh sb="0" eb="1">
      <t>ズ</t>
    </rPh>
    <rPh sb="2" eb="3">
      <t>ハ</t>
    </rPh>
    <rPh sb="4" eb="5">
      <t>ツ</t>
    </rPh>
    <phoneticPr fontId="23"/>
  </si>
  <si>
    <t>シートの保護を解除してください</t>
    <phoneticPr fontId="23"/>
  </si>
  <si>
    <t>評　価　ソ　フ　ト</t>
    <rPh sb="0" eb="1">
      <t>ヒョウ</t>
    </rPh>
    <rPh sb="2" eb="3">
      <t>アタイ</t>
    </rPh>
    <phoneticPr fontId="23"/>
  </si>
  <si>
    <t>地域区分</t>
    <rPh sb="0" eb="2">
      <t>チイキ</t>
    </rPh>
    <phoneticPr fontId="23"/>
  </si>
  <si>
    <t>㎡ 　うち省エネ計画対象面積</t>
    <rPh sb="5" eb="6">
      <t>ショウ</t>
    </rPh>
    <rPh sb="8" eb="10">
      <t>ケイカク</t>
    </rPh>
    <rPh sb="10" eb="12">
      <t>タイショウ</t>
    </rPh>
    <rPh sb="12" eb="14">
      <t>メンセキ</t>
    </rPh>
    <phoneticPr fontId="23"/>
  </si>
  <si>
    <t>RN使用欄</t>
    <rPh sb="2" eb="4">
      <t>シヨウ</t>
    </rPh>
    <rPh sb="4" eb="5">
      <t>ラン</t>
    </rPh>
    <phoneticPr fontId="23"/>
  </si>
  <si>
    <t>TC</t>
    <phoneticPr fontId="23"/>
  </si>
  <si>
    <t>NC</t>
    <phoneticPr fontId="23"/>
  </si>
  <si>
    <t>EB</t>
    <phoneticPr fontId="23"/>
  </si>
  <si>
    <t>短期使用</t>
    <rPh sb="0" eb="2">
      <t>タンキ</t>
    </rPh>
    <rPh sb="2" eb="4">
      <t>シヨウ</t>
    </rPh>
    <phoneticPr fontId="23"/>
  </si>
  <si>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</si>
  <si>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</si>
  <si>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</si>
  <si>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</si>
  <si>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しない</t>
  </si>
  <si>
    <t>しない</t>
    <phoneticPr fontId="23"/>
  </si>
  <si>
    <t>ポイント</t>
    <phoneticPr fontId="23"/>
  </si>
  <si>
    <t xml:space="preserve">取組数 </t>
    <rPh sb="0" eb="2">
      <t>トリクミ</t>
    </rPh>
    <rPh sb="2" eb="3">
      <t>スウ</t>
    </rPh>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</si>
  <si>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</si>
  <si>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</si>
  <si>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</si>
  <si>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</si>
  <si>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</si>
  <si>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</si>
  <si>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</si>
  <si>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</si>
  <si>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</si>
  <si>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</si>
  <si>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</si>
  <si>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</si>
  <si>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3"/>
  </si>
  <si>
    <t>■ 延床面積</t>
    <rPh sb="2" eb="3">
      <t>ﾉ</t>
    </rPh>
    <rPh sb="3" eb="6">
      <t>ﾕｶﾒﾝｾｷ</t>
    </rPh>
    <phoneticPr fontId="35"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</si>
  <si>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</si>
  <si>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</si>
  <si>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</si>
  <si>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</si>
  <si>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</si>
  <si>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3"/>
  </si>
  <si>
    <t>インテリア</t>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</si>
  <si>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</si>
  <si>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</si>
  <si>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</si>
  <si>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</si>
  <si>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</si>
  <si>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</si>
  <si>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</si>
  <si>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</si>
  <si>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</si>
  <si>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</si>
  <si>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1-3</t>
    </r>
    <r>
      <rPr>
        <b/>
        <sz val="12"/>
        <color indexed="9"/>
        <rFont val="ＭＳ Ｐゴシック"/>
        <family val="3"/>
        <charset val="128"/>
      </rPr>
      <t>　外観</t>
    </r>
    <rPh sb="4" eb="6">
      <t>ガイカン</t>
    </rPh>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</si>
  <si>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</si>
  <si>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</si>
  <si>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t>201●年●月●日</t>
    <rPh sb="4" eb="5">
      <t>ネン</t>
    </rPh>
    <rPh sb="6" eb="7">
      <t>ガツ</t>
    </rPh>
    <rPh sb="8" eb="9">
      <t>ニチ</t>
    </rPh>
    <phoneticPr fontId="23"/>
  </si>
  <si>
    <t>■建物名称　</t>
    <rPh sb="1" eb="3">
      <t>タテモノ</t>
    </rPh>
    <rPh sb="3" eb="5">
      <t>メイショウ</t>
    </rPh>
    <phoneticPr fontId="23"/>
  </si>
  <si>
    <t>　注）　設計における総合的なコンセプトを簡潔に記載してください。
　</t>
    <rPh sb="4" eb="6">
      <t>セッケイ</t>
    </rPh>
    <phoneticPr fontId="23"/>
  </si>
  <si>
    <t>重み</t>
    <rPh sb="0" eb="1">
      <t>オモ</t>
    </rPh>
    <phoneticPr fontId="23"/>
  </si>
  <si>
    <t>パウダールームとして利用可能な装備がある</t>
  </si>
  <si>
    <t>ハンドドライヤー等、手拭き用の設備が設置されている</t>
  </si>
  <si>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</si>
  <si>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水平方向から見て光源が露出せず、グレアを制限している器具。G2 分類の器具。</t>
  </si>
  <si>
    <t>水平方向から見て光源が露出し、グレアを制限していない器具。G3 分類の器具。</t>
  </si>
  <si>
    <t>壁・床・天井のうち一面に吸音材を使用している</t>
  </si>
  <si>
    <t>吸音材を使用していない</t>
  </si>
  <si>
    <t>40＜ [騒音レベル] ≦45</t>
  </si>
  <si>
    <t>45＜ [騒音レベル] ≦50</t>
  </si>
  <si>
    <t>6)優れた外観デザイン</t>
  </si>
  <si>
    <t>5）周辺の主要な視点場からの良好な景観形成</t>
  </si>
  <si>
    <t>地域性のある素材を外装材に使用して、良好な景観を形成している。</t>
  </si>
  <si>
    <t>4）地域性のある素材による良好な景観形成</t>
  </si>
  <si>
    <t>3）景観の歴史の継承</t>
  </si>
  <si>
    <t>植栽により、良好な景観を形成している。</t>
  </si>
  <si>
    <t>2）植栽による良好な景観形成</t>
  </si>
  <si>
    <t>1）建物の配置・形態等のまちなみへの調和</t>
  </si>
  <si>
    <t>紙文書による情報漏えいを防止し、無駄な印刷を減少させることを意図したICカード認証プリントシステムを採用している（例：セキュアプリントの採用）</t>
  </si>
  <si>
    <t>評価する取組みのうち４つの項目に該当する。</t>
  </si>
  <si>
    <t>評価する取組みのうち３つの項目に該当する。</t>
  </si>
  <si>
    <t>評価する取組みのうち２つの項目に該当する。</t>
  </si>
  <si>
    <t>1.1.2　荷重のゆとり</t>
    <rPh sb="6" eb="8">
      <t>カジュウ</t>
    </rPh>
    <phoneticPr fontId="119"/>
  </si>
  <si>
    <t>1.1.1　空間の形状・自由さ</t>
    <rPh sb="6" eb="8">
      <t>クウカン</t>
    </rPh>
    <rPh sb="9" eb="11">
      <t>ケイジョウ</t>
    </rPh>
    <rPh sb="12" eb="14">
      <t>ジユウ</t>
    </rPh>
    <phoneticPr fontId="119"/>
  </si>
  <si>
    <t>空間・内装</t>
    <rPh sb="0" eb="2">
      <t>クウカン</t>
    </rPh>
    <rPh sb="3" eb="5">
      <t>ナイソウ</t>
    </rPh>
    <phoneticPr fontId="23"/>
  </si>
  <si>
    <t>冷暖房設備が設置されている</t>
  </si>
  <si>
    <t>移動空間・コミュニケーション</t>
  </si>
  <si>
    <t>防犯対策を実施していない</t>
  </si>
  <si>
    <t>水質安全性対策を一部満たしている</t>
  </si>
  <si>
    <t>水質安全性対策を一つも満たしていない</t>
  </si>
  <si>
    <t>自主努力の無害化措置により、法による区域指定を解除する場合</t>
  </si>
  <si>
    <t>自主調査、または法定調査の結果、「形質変更時要届出区域」に指定され、開発時に拡散防止のための計画の届出、それに基づく措置を行う場合</t>
  </si>
  <si>
    <t>法令水準以上の非常用発電設備があり、建物の基幹機能や共用部におけるサービスが可能である。</t>
  </si>
  <si>
    <t>異なる変電所からの引き込みを二重化している。</t>
  </si>
  <si>
    <t>電源車接続時に利用可能な照明等の配線が設置されている。</t>
  </si>
  <si>
    <t>重要設備系の受電設備の二重化を行っている。</t>
  </si>
  <si>
    <t>無停電電源設備を備えている。</t>
  </si>
  <si>
    <t>建物全体の床面積の合計が2000㎡未満の場合</t>
    <rPh sb="17" eb="19">
      <t>ミマン</t>
    </rPh>
    <phoneticPr fontId="119"/>
  </si>
  <si>
    <t>建築基準法に定められた耐震性の50％増の耐震性を有する</t>
  </si>
  <si>
    <t>建築基準法に定められた耐震性の25％増の耐震性を有する</t>
  </si>
  <si>
    <t>建築基準法に定められた耐震性を有する</t>
  </si>
  <si>
    <t>1.1.1　躯体の耐震性能</t>
    <rPh sb="9" eb="11">
      <t>タイシン</t>
    </rPh>
    <rPh sb="11" eb="13">
      <t>セイノウ</t>
    </rPh>
    <phoneticPr fontId="119"/>
  </si>
  <si>
    <t>建物内に設置されているが、十分な数と必要に応じた配置となっていない。</t>
  </si>
  <si>
    <t>建物内に設置されていない</t>
  </si>
  <si>
    <t>満足度調査</t>
  </si>
  <si>
    <t>維持管理計画</t>
  </si>
  <si>
    <t>ワーカーを対象とした健康セミナーやメンタル系セミナーを開催している。</t>
  </si>
  <si>
    <t>ワーカーにフィットネスクラブなどへの費用補助を行っている。</t>
  </si>
  <si>
    <t>健康を増進するクラブ活動への補助を行っている。</t>
  </si>
  <si>
    <t>社内に運動を促進するクラブ活動がある。</t>
  </si>
  <si>
    <t>健康診断、ストレスチェックが行われている</t>
  </si>
  <si>
    <t>採点基準</t>
    <rPh sb="0" eb="2">
      <t>サイテン</t>
    </rPh>
    <rPh sb="2" eb="4">
      <t>キジュン</t>
    </rPh>
    <phoneticPr fontId="23"/>
  </si>
  <si>
    <t>レイアウトの柔軟性</t>
    <rPh sb="6" eb="8">
      <t>ジュウナン</t>
    </rPh>
    <rPh sb="8" eb="9">
      <t>セイ</t>
    </rPh>
    <phoneticPr fontId="23"/>
  </si>
  <si>
    <t>WO</t>
    <phoneticPr fontId="23"/>
  </si>
  <si>
    <r>
      <t>●</t>
    </r>
    <r>
      <rPr>
        <sz val="11"/>
        <rFont val="Arial"/>
        <family val="2"/>
      </rPr>
      <t>LCCO2</t>
    </r>
    <r>
      <rPr>
        <sz val="11"/>
        <rFont val="ＭＳ Ｐゴシック"/>
        <family val="3"/>
        <charset val="128"/>
      </rPr>
      <t>計算</t>
    </r>
    <rPh sb="6" eb="8">
      <t>ケイサン</t>
    </rPh>
    <phoneticPr fontId="23"/>
  </si>
  <si>
    <t>パターン１</t>
    <phoneticPr fontId="23"/>
  </si>
  <si>
    <t>パターン２</t>
    <phoneticPr fontId="23"/>
  </si>
  <si>
    <t>パターン３</t>
    <phoneticPr fontId="23"/>
  </si>
  <si>
    <t>■ 評価対象</t>
    <rPh sb="2" eb="4">
      <t>ヒョウカ</t>
    </rPh>
    <rPh sb="4" eb="6">
      <t>タイショウ</t>
    </rPh>
    <phoneticPr fontId="23"/>
  </si>
  <si>
    <t>■ 評価対象フェーズ</t>
    <rPh sb="2" eb="4">
      <t>ヒョウカ</t>
    </rPh>
    <rPh sb="4" eb="6">
      <t>タイショウ</t>
    </rPh>
    <phoneticPr fontId="23"/>
  </si>
  <si>
    <t>BP1</t>
    <phoneticPr fontId="23"/>
  </si>
  <si>
    <t>BP2</t>
    <phoneticPr fontId="23"/>
  </si>
  <si>
    <t>BP3</t>
    <phoneticPr fontId="23"/>
  </si>
  <si>
    <r>
      <t>2-2</t>
    </r>
    <r>
      <rPr>
        <b/>
        <sz val="12"/>
        <color indexed="9"/>
        <rFont val="ＭＳ Ｐゴシック"/>
        <family val="3"/>
        <charset val="128"/>
      </rPr>
      <t>　大項目の評価（ﾚｰﾀﾞｰﾁｬｰﾄ）</t>
    </r>
    <rPh sb="4" eb="7">
      <t>ダイコウモク</t>
    </rPh>
    <rPh sb="8" eb="10">
      <t>ヒョウカ</t>
    </rPh>
    <phoneticPr fontId="23"/>
  </si>
  <si>
    <r>
      <t>2-3</t>
    </r>
    <r>
      <rPr>
        <b/>
        <sz val="12"/>
        <color indexed="9"/>
        <rFont val="ＭＳ Ｐゴシック"/>
        <family val="3"/>
        <charset val="128"/>
      </rPr>
      <t>　中項目の評価（バーチャート）</t>
    </r>
    <phoneticPr fontId="23"/>
  </si>
  <si>
    <t>≧</t>
  </si>
  <si>
    <t>＜</t>
  </si>
  <si>
    <t>スコア平均</t>
    <rPh sb="3" eb="5">
      <t>ヘイキン</t>
    </rPh>
    <phoneticPr fontId="23"/>
  </si>
  <si>
    <t>ランク用スコア</t>
    <rPh sb="3" eb="4">
      <t>ヨウ</t>
    </rPh>
    <phoneticPr fontId="23"/>
  </si>
  <si>
    <t>★</t>
    <phoneticPr fontId="23"/>
  </si>
  <si>
    <t>/100</t>
    <phoneticPr fontId="23"/>
  </si>
  <si>
    <t>Rank:</t>
    <phoneticPr fontId="119"/>
  </si>
  <si>
    <t>ランク</t>
    <phoneticPr fontId="23"/>
  </si>
  <si>
    <t>　注）　上記以外に対する配慮事項を簡潔に記載してください。</t>
    <rPh sb="4" eb="6">
      <t>ジョウキ</t>
    </rPh>
    <rPh sb="6" eb="8">
      <t>イガイ</t>
    </rPh>
    <phoneticPr fontId="23"/>
  </si>
  <si>
    <t>スコアシート</t>
    <phoneticPr fontId="35" type="noConversion"/>
  </si>
  <si>
    <t>空間・内装</t>
    <rPh sb="0" eb="2">
      <t>ｸｳｶﾝ</t>
    </rPh>
    <rPh sb="3" eb="5">
      <t>ﾅｲｿｳ</t>
    </rPh>
    <phoneticPr fontId="35" type="noConversion"/>
  </si>
  <si>
    <t>1.1.3　設備機器の区画別運用の可変性</t>
    <phoneticPr fontId="119"/>
  </si>
  <si>
    <t>熱・空気環境</t>
    <rPh sb="0" eb="1">
      <t>ﾈﾂ</t>
    </rPh>
    <rPh sb="2" eb="4">
      <t>ｸｳｷ</t>
    </rPh>
    <rPh sb="4" eb="6">
      <t>ｶﾝｷｮｳ</t>
    </rPh>
    <phoneticPr fontId="35" type="noConversion"/>
  </si>
  <si>
    <t>リフレッシュ</t>
    <phoneticPr fontId="35" type="noConversion"/>
  </si>
  <si>
    <t>運動</t>
    <phoneticPr fontId="35" type="noConversion"/>
  </si>
  <si>
    <t>情報通信</t>
  </si>
  <si>
    <t>有害物質対策</t>
  </si>
  <si>
    <t>水質安全性</t>
  </si>
  <si>
    <t>対象外</t>
    <rPh sb="0" eb="3">
      <t>タイショウガイ</t>
    </rPh>
    <phoneticPr fontId="23"/>
  </si>
  <si>
    <t>パターン１</t>
    <phoneticPr fontId="23"/>
  </si>
  <si>
    <t>合計</t>
    <rPh sb="0" eb="2">
      <t>ゴウケイ</t>
    </rPh>
    <phoneticPr fontId="23"/>
  </si>
  <si>
    <t>メンタルヘルス対策、医療サービス</t>
    <phoneticPr fontId="23"/>
  </si>
  <si>
    <t>維持管理に配慮した設計</t>
    <phoneticPr fontId="23"/>
  </si>
  <si>
    <t>備考</t>
    <rPh sb="0" eb="2">
      <t>ビコウ</t>
    </rPh>
    <phoneticPr fontId="23"/>
  </si>
  <si>
    <t>維持保全計画</t>
    <phoneticPr fontId="23"/>
  </si>
  <si>
    <t>維持管理の状況</t>
    <phoneticPr fontId="23"/>
  </si>
  <si>
    <t>中長期保全計画の有無と実行性</t>
    <phoneticPr fontId="23"/>
  </si>
  <si>
    <t>満足度調査の定期的実施等</t>
    <phoneticPr fontId="23"/>
  </si>
  <si>
    <t>消防訓練の実施</t>
    <phoneticPr fontId="23"/>
  </si>
  <si>
    <t>評価する取組み</t>
    <rPh sb="0" eb="2">
      <t>ヒョウカ</t>
    </rPh>
    <rPh sb="4" eb="6">
      <t>トリク</t>
    </rPh>
    <phoneticPr fontId="23"/>
  </si>
  <si>
    <t>化学汚染物質</t>
    <phoneticPr fontId="23"/>
  </si>
  <si>
    <t>有害物質を含まない材料の使用</t>
    <phoneticPr fontId="23"/>
  </si>
  <si>
    <t>有害物質の既存不適格対応</t>
    <phoneticPr fontId="23"/>
  </si>
  <si>
    <t>水質安全性</t>
    <phoneticPr fontId="23"/>
  </si>
  <si>
    <t>水質安全性対策を全て満たしている。または、各階にミネラルウォーターサーバーを用意し全員が利用できる。</t>
  </si>
  <si>
    <t>セキュリティ</t>
    <phoneticPr fontId="23"/>
  </si>
  <si>
    <t>セキュリティ設備</t>
    <phoneticPr fontId="23"/>
  </si>
  <si>
    <t>バリアフリー法への対応</t>
    <phoneticPr fontId="23"/>
  </si>
  <si>
    <t>高度情報通信インフラ</t>
    <phoneticPr fontId="23"/>
  </si>
  <si>
    <t>外観デザイン</t>
    <phoneticPr fontId="23"/>
  </si>
  <si>
    <t>7）その他</t>
  </si>
  <si>
    <t>評価ポイント</t>
    <rPh sb="0" eb="2">
      <t>ヒョウカ</t>
    </rPh>
    <phoneticPr fontId="23"/>
  </si>
  <si>
    <t>照度</t>
    <phoneticPr fontId="23"/>
  </si>
  <si>
    <t>グレア対策</t>
    <phoneticPr fontId="23"/>
  </si>
  <si>
    <t>注）レベル４、レベル５は直接入力によりレベルを選択してください。</t>
    <rPh sb="12" eb="14">
      <t>チョクセツ</t>
    </rPh>
    <rPh sb="14" eb="16">
      <t>ニュウリョク</t>
    </rPh>
    <rPh sb="23" eb="25">
      <t>センタク</t>
    </rPh>
    <phoneticPr fontId="23"/>
  </si>
  <si>
    <t>トイレの充足性・機能性</t>
    <phoneticPr fontId="23"/>
  </si>
  <si>
    <r>
      <rPr>
        <b/>
        <sz val="11"/>
        <rFont val="ＭＳ Ｐゴシック"/>
        <family val="3"/>
        <charset val="128"/>
      </rPr>
      <t>1.1　</t>
    </r>
    <r>
      <rPr>
        <sz val="11"/>
        <rFont val="ＭＳ Ｐゴシック"/>
        <family val="3"/>
        <charset val="128"/>
      </rPr>
      <t>レイアウトの柔軟性</t>
    </r>
    <rPh sb="10" eb="13">
      <t>ジュウナンセイ</t>
    </rPh>
    <phoneticPr fontId="119"/>
  </si>
  <si>
    <r>
      <t>1.1　</t>
    </r>
    <r>
      <rPr>
        <sz val="11"/>
        <rFont val="ＭＳ Ｐゴシック"/>
        <family val="3"/>
        <charset val="128"/>
      </rPr>
      <t>耐震性</t>
    </r>
    <phoneticPr fontId="119"/>
  </si>
  <si>
    <t>採点</t>
    <rPh sb="0" eb="2">
      <t>サイテン</t>
    </rPh>
    <phoneticPr fontId="23"/>
  </si>
  <si>
    <t>得点</t>
    <rPh sb="0" eb="2">
      <t>トクテン</t>
    </rPh>
    <phoneticPr fontId="23"/>
  </si>
  <si>
    <t>平均</t>
    <rPh sb="0" eb="2">
      <t>ヘイキン</t>
    </rPh>
    <phoneticPr fontId="23"/>
  </si>
  <si>
    <t>環境配慮の概要記入欄</t>
    <phoneticPr fontId="23"/>
  </si>
  <si>
    <t>リフレッシュスペース</t>
    <phoneticPr fontId="23"/>
  </si>
  <si>
    <t>分煙対応、禁煙対応</t>
    <phoneticPr fontId="23"/>
  </si>
  <si>
    <t>運動</t>
    <phoneticPr fontId="23"/>
  </si>
  <si>
    <t>運動促進・支援機能</t>
    <phoneticPr fontId="23"/>
  </si>
  <si>
    <t>階段の位置・アクセス表示</t>
    <phoneticPr fontId="23"/>
  </si>
  <si>
    <t>災害対応</t>
    <phoneticPr fontId="23"/>
  </si>
  <si>
    <t>リフレッシュ</t>
    <phoneticPr fontId="23"/>
  </si>
  <si>
    <t>運動</t>
    <phoneticPr fontId="23"/>
  </si>
  <si>
    <t>移動空間・コミュニケーション</t>
    <phoneticPr fontId="23"/>
  </si>
  <si>
    <t>情報通信</t>
    <phoneticPr fontId="23"/>
  </si>
  <si>
    <t>災害対応</t>
    <phoneticPr fontId="23"/>
  </si>
  <si>
    <t>有害物質対策</t>
    <phoneticPr fontId="23"/>
  </si>
  <si>
    <t>水質安全性</t>
    <phoneticPr fontId="23"/>
  </si>
  <si>
    <t>維持管理計画</t>
    <phoneticPr fontId="23"/>
  </si>
  <si>
    <t>満足度調査</t>
    <phoneticPr fontId="23"/>
  </si>
  <si>
    <t>吸音</t>
    <phoneticPr fontId="23"/>
  </si>
  <si>
    <t>熱・空気環境</t>
    <phoneticPr fontId="23"/>
  </si>
  <si>
    <t>湿度制御</t>
    <phoneticPr fontId="23"/>
  </si>
  <si>
    <t>オフィスからの眺望</t>
    <phoneticPr fontId="23"/>
  </si>
  <si>
    <t>室内の植栽・自然とのつながり</t>
    <phoneticPr fontId="23"/>
  </si>
  <si>
    <t>室外（敷地内）の植栽・自然とのつながり</t>
    <phoneticPr fontId="23"/>
  </si>
  <si>
    <t>BCP（事業継続計画）の有無</t>
    <phoneticPr fontId="23"/>
  </si>
  <si>
    <t>追加？？</t>
    <rPh sb="0" eb="2">
      <t>ツイカ</t>
    </rPh>
    <phoneticPr fontId="23"/>
  </si>
  <si>
    <t>-</t>
    <phoneticPr fontId="23"/>
  </si>
  <si>
    <t>基本性能</t>
    <rPh sb="0" eb="2">
      <t>キホン</t>
    </rPh>
    <rPh sb="2" eb="4">
      <t>セイノウ</t>
    </rPh>
    <phoneticPr fontId="23"/>
  </si>
  <si>
    <t>作業効率</t>
    <rPh sb="0" eb="2">
      <t>サギョウ</t>
    </rPh>
    <rPh sb="2" eb="4">
      <t>コウリツ</t>
    </rPh>
    <phoneticPr fontId="23"/>
  </si>
  <si>
    <t>知識創造</t>
    <rPh sb="0" eb="2">
      <t>チシキ</t>
    </rPh>
    <rPh sb="2" eb="4">
      <t>ソウゾウ</t>
    </rPh>
    <phoneticPr fontId="23"/>
  </si>
  <si>
    <t>人材確保</t>
    <rPh sb="0" eb="2">
      <t>ジンザイ</t>
    </rPh>
    <rPh sb="2" eb="4">
      <t>カクホ</t>
    </rPh>
    <phoneticPr fontId="23"/>
  </si>
  <si>
    <t>意欲向上</t>
    <rPh sb="0" eb="2">
      <t>イヨク</t>
    </rPh>
    <rPh sb="2" eb="4">
      <t>コウジョウ</t>
    </rPh>
    <phoneticPr fontId="23"/>
  </si>
  <si>
    <r>
      <t>2-1</t>
    </r>
    <r>
      <rPr>
        <b/>
        <sz val="12"/>
        <color indexed="9"/>
        <rFont val="ＭＳ Ｐゴシック"/>
        <family val="3"/>
        <charset val="128"/>
      </rPr>
      <t>　総合評価</t>
    </r>
    <rPh sb="4" eb="6">
      <t>そうごう</t>
    </rPh>
    <rPh sb="6" eb="8">
      <t>ひょうか</t>
    </rPh>
    <phoneticPr fontId="35" type="noConversion"/>
  </si>
  <si>
    <r>
      <t>S</t>
    </r>
    <r>
      <rPr>
        <sz val="11"/>
        <rFont val="ＭＳ Ｐゴシック"/>
        <family val="3"/>
        <charset val="128"/>
      </rPr>
      <t>　ランク；</t>
    </r>
    <r>
      <rPr>
        <sz val="14"/>
        <color rgb="FF0070C0"/>
        <rFont val="Segoe UI Symbol"/>
        <family val="3"/>
      </rPr>
      <t>★★★★★</t>
    </r>
    <phoneticPr fontId="23"/>
  </si>
  <si>
    <r>
      <t>A</t>
    </r>
    <r>
      <rPr>
        <sz val="11"/>
        <rFont val="ＭＳ Ｐゴシック"/>
        <family val="3"/>
        <charset val="128"/>
      </rPr>
      <t>　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</si>
  <si>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</si>
  <si>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</si>
  <si>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C</t>
    </r>
    <r>
      <rPr>
        <sz val="11"/>
        <rFont val="ＭＳ Ｐゴシック"/>
        <family val="3"/>
        <charset val="128"/>
      </rPr>
      <t>　ランク；</t>
    </r>
    <r>
      <rPr>
        <sz val="14"/>
        <color rgb="FF0070C0"/>
        <rFont val="Segoe UI Symbol"/>
        <family val="3"/>
      </rPr>
      <t>★</t>
    </r>
    <phoneticPr fontId="23"/>
  </si>
  <si>
    <r>
      <t>1-2</t>
    </r>
    <r>
      <rPr>
        <b/>
        <sz val="12"/>
        <color indexed="9"/>
        <rFont val="ＭＳ Ｐゴシック"/>
        <family val="3"/>
        <charset val="128"/>
      </rPr>
      <t>　評価パターン</t>
    </r>
    <rPh sb="4" eb="6">
      <t>ヒョウカ</t>
    </rPh>
    <phoneticPr fontId="23"/>
  </si>
  <si>
    <t>参考：知的生産性の視点に基づいた評価</t>
    <rPh sb="0" eb="2">
      <t>サンコウ</t>
    </rPh>
    <rPh sb="3" eb="5">
      <t>チテキ</t>
    </rPh>
    <rPh sb="5" eb="8">
      <t>セイサンセイ</t>
    </rPh>
    <rPh sb="9" eb="11">
      <t>シテン</t>
    </rPh>
    <rPh sb="12" eb="13">
      <t>モト</t>
    </rPh>
    <rPh sb="16" eb="18">
      <t>ヒョウカ</t>
    </rPh>
    <phoneticPr fontId="23"/>
  </si>
  <si>
    <t>空間のプランニングが建築躯体によって極めて制限される。</t>
  </si>
  <si>
    <t>空間のプランニングが建築躯体によって制限される。</t>
  </si>
  <si>
    <t>空間のプランニングの自由度がある。</t>
  </si>
  <si>
    <t>空間のプランニングの自由度が高い。</t>
  </si>
  <si>
    <t>空間のプランニングの自由度が極めて高い。</t>
  </si>
  <si>
    <t>知的生産性を高めるという観点を考慮して計画・整備されている。</t>
  </si>
  <si>
    <t>評価する取組みのうち１つの項目に該当する。</t>
  </si>
  <si>
    <t>広さ</t>
    <phoneticPr fontId="23"/>
  </si>
  <si>
    <t>パターン１</t>
    <phoneticPr fontId="23"/>
  </si>
  <si>
    <t>パターン2，3</t>
    <phoneticPr fontId="23"/>
  </si>
  <si>
    <t>スクリーン、オーニング、庇等、何かしらのグレア対策を実施している。</t>
  </si>
  <si>
    <t>ブラインドの設置、もしくはスクリーンと庇の組合せ等、段階的なグレア対策が可能とする仕様となっている。</t>
  </si>
  <si>
    <t>ブラインドと庇の組合せ等、グレアを防止しつつ、外部との繋がり（眺望や自然採光）を保つことが可能な設計となっている。</t>
  </si>
  <si>
    <t>項目</t>
    <rPh sb="0" eb="2">
      <t>コウモク</t>
    </rPh>
    <phoneticPr fontId="23"/>
  </si>
  <si>
    <t>標準的な器具数が設置されている。</t>
  </si>
  <si>
    <t>大便器に脱臭機能付き温水洗浄便座が設置されている</t>
  </si>
  <si>
    <t>大便器ブース内に手すりが設置されている</t>
  </si>
  <si>
    <t>小便器に感知フラッシュバルブが設置されている</t>
  </si>
  <si>
    <t>洗面器に自動水栓が設置されている</t>
  </si>
  <si>
    <t>洗面器に自動水石鹸供給栓等が設置されている</t>
  </si>
  <si>
    <t>一部のブースに消音装置（擬音装置）が設置されている</t>
  </si>
  <si>
    <t>レベル２を満たさない</t>
  </si>
  <si>
    <t>5分間輸送能力が11％以上、かつ平均運転間隔が40秒以下である（１台の場合は平均運転間隔が60秒以下）</t>
  </si>
  <si>
    <t>待ち時間対応策としてモニター設置等を行っている</t>
  </si>
  <si>
    <t>エレベーターバンクを可変とする制御を採用している</t>
  </si>
  <si>
    <t>レベル４を満たし、かつ打ち合わせ内容に応じた空間の選択が可能である。</t>
    <phoneticPr fontId="23"/>
  </si>
  <si>
    <t>重み係数(既定）＝</t>
    <rPh sb="0" eb="1">
      <t>オモ</t>
    </rPh>
    <rPh sb="2" eb="4">
      <t>ケイスウ</t>
    </rPh>
    <rPh sb="5" eb="7">
      <t>キテイ</t>
    </rPh>
    <phoneticPr fontId="23"/>
  </si>
  <si>
    <t>-</t>
    <phoneticPr fontId="23"/>
  </si>
  <si>
    <t>アスベストの対策工事が未実施、もしくはPCBが適切に管理・保管されていない</t>
  </si>
  <si>
    <t>アスベストの封じ込め・囲い込みが実施済、もしくはPCBが適切に管理されている</t>
  </si>
  <si>
    <t>監視カメラの設置</t>
  </si>
  <si>
    <t>入退管理システムの設置（通用口の入退館管理、夜間はカードシステムでも可）</t>
  </si>
  <si>
    <t>専有部の夜間入退館カードシステム</t>
  </si>
  <si>
    <t>総合評価</t>
    <rPh sb="0" eb="2">
      <t>ソウゴウ</t>
    </rPh>
    <rPh sb="2" eb="4">
      <t>ヒョウカ</t>
    </rPh>
    <phoneticPr fontId="23"/>
  </si>
  <si>
    <t>作業効率</t>
    <rPh sb="0" eb="2">
      <t>サギョウ</t>
    </rPh>
    <rPh sb="2" eb="4">
      <t>コウリツ</t>
    </rPh>
    <phoneticPr fontId="23"/>
  </si>
  <si>
    <t>知識創造</t>
    <rPh sb="0" eb="2">
      <t>チシキ</t>
    </rPh>
    <rPh sb="2" eb="4">
      <t>ソウゾウ</t>
    </rPh>
    <phoneticPr fontId="23"/>
  </si>
  <si>
    <t>意欲向上</t>
    <rPh sb="0" eb="2">
      <t>イヨク</t>
    </rPh>
    <rPh sb="2" eb="4">
      <t>コウジョウ</t>
    </rPh>
    <phoneticPr fontId="23"/>
  </si>
  <si>
    <t>人材確保</t>
    <rPh sb="0" eb="2">
      <t>ジンザイ</t>
    </rPh>
    <rPh sb="2" eb="4">
      <t>カクホ</t>
    </rPh>
    <phoneticPr fontId="23"/>
  </si>
  <si>
    <t>Qw4 運営管理</t>
    <rPh sb="4" eb="6">
      <t>ｳﾝｴｲ</t>
    </rPh>
    <rPh sb="6" eb="8">
      <t>ｶﾝﾘ</t>
    </rPh>
    <phoneticPr fontId="35" type="noConversion"/>
  </si>
  <si>
    <t>Qw5 プログラム</t>
    <phoneticPr fontId="35" type="noConversion"/>
  </si>
  <si>
    <t>Rank(blue star)</t>
    <phoneticPr fontId="23"/>
  </si>
  <si>
    <t>③　オフィスパターン</t>
    <phoneticPr fontId="23"/>
  </si>
  <si>
    <t>Score=</t>
    <phoneticPr fontId="23"/>
  </si>
  <si>
    <t>評価内容</t>
    <rPh sb="0" eb="2">
      <t>ヒョウカ</t>
    </rPh>
    <rPh sb="2" eb="4">
      <t>ナイヨウ</t>
    </rPh>
    <phoneticPr fontId="23"/>
  </si>
  <si>
    <t>評価内容</t>
    <rPh sb="0" eb="2">
      <t>ヒョウカ</t>
    </rPh>
    <rPh sb="2" eb="4">
      <t>ナイヨウ</t>
    </rPh>
    <phoneticPr fontId="23"/>
  </si>
  <si>
    <t>項目</t>
    <rPh sb="0" eb="2">
      <t>コウモク</t>
    </rPh>
    <phoneticPr fontId="23"/>
  </si>
  <si>
    <r>
      <t>Score</t>
    </r>
    <r>
      <rPr>
        <b/>
        <i/>
        <sz val="10"/>
        <rFont val="Arial"/>
        <family val="2"/>
      </rPr>
      <t>=</t>
    </r>
    <phoneticPr fontId="23"/>
  </si>
  <si>
    <t>項目</t>
    <rPh sb="0" eb="2">
      <t>コウモク</t>
    </rPh>
    <phoneticPr fontId="23"/>
  </si>
  <si>
    <t>維持管理用機能の確保</t>
    <phoneticPr fontId="23"/>
  </si>
  <si>
    <t>AEDの設置</t>
    <rPh sb="4" eb="6">
      <t>セッチ</t>
    </rPh>
    <phoneticPr fontId="23"/>
  </si>
  <si>
    <t>耐震性</t>
    <rPh sb="0" eb="2">
      <t>タイシン</t>
    </rPh>
    <rPh sb="2" eb="3">
      <t>セイ</t>
    </rPh>
    <phoneticPr fontId="119"/>
  </si>
  <si>
    <t>EV評価項目</t>
    <rPh sb="2" eb="4">
      <t>ヒョウカ</t>
    </rPh>
    <rPh sb="4" eb="6">
      <t>コウモク</t>
    </rPh>
    <phoneticPr fontId="23"/>
  </si>
  <si>
    <t>室温制御</t>
    <rPh sb="2" eb="4">
      <t>セイギョ</t>
    </rPh>
    <phoneticPr fontId="23"/>
  </si>
  <si>
    <t>光・視環境</t>
    <rPh sb="0" eb="1">
      <t>ヒカリ</t>
    </rPh>
    <rPh sb="2" eb="3">
      <t>シ</t>
    </rPh>
    <rPh sb="3" eb="5">
      <t>カンキョウ</t>
    </rPh>
    <phoneticPr fontId="23"/>
  </si>
  <si>
    <t>室内騒音レベル</t>
    <phoneticPr fontId="23"/>
  </si>
  <si>
    <t>作業環境</t>
    <phoneticPr fontId="23"/>
  </si>
  <si>
    <t>知的生産性を高めるワークプレイス　</t>
    <rPh sb="0" eb="2">
      <t>チテキ</t>
    </rPh>
    <phoneticPr fontId="23"/>
  </si>
  <si>
    <t>1.1.3　設備の信頼性</t>
    <rPh sb="9" eb="12">
      <t>シンライセイ</t>
    </rPh>
    <phoneticPr fontId="119"/>
  </si>
  <si>
    <t>パターン１</t>
    <phoneticPr fontId="23"/>
  </si>
  <si>
    <t>パターン２，３</t>
    <phoneticPr fontId="23"/>
  </si>
  <si>
    <t>（レベル１，３の中間的な取組み）</t>
  </si>
  <si>
    <t>1.1.2　免振・制振・制震性能</t>
    <rPh sb="6" eb="8">
      <t>メンシン</t>
    </rPh>
    <rPh sb="9" eb="11">
      <t>セイシン</t>
    </rPh>
    <rPh sb="12" eb="14">
      <t>セイシン</t>
    </rPh>
    <rPh sb="14" eb="16">
      <t>セイノウ</t>
    </rPh>
    <phoneticPr fontId="119"/>
  </si>
  <si>
    <t>注）レベル２、レベル５は直接入力によりレベルを選択してください。</t>
    <rPh sb="12" eb="14">
      <t>チョクセツ</t>
    </rPh>
    <rPh sb="14" eb="16">
      <t>ニュウリョク</t>
    </rPh>
    <rPh sb="23" eb="25">
      <t>センタク</t>
    </rPh>
    <phoneticPr fontId="23"/>
  </si>
  <si>
    <t>注）評価ポイントによらない場合にレベル５は直接入力によりレベルを選択してください。</t>
    <rPh sb="2" eb="4">
      <t>ヒョウカ</t>
    </rPh>
    <rPh sb="13" eb="15">
      <t>バアイ</t>
    </rPh>
    <rPh sb="21" eb="23">
      <t>チョクセツ</t>
    </rPh>
    <rPh sb="23" eb="25">
      <t>ニュウリョク</t>
    </rPh>
    <rPh sb="32" eb="34">
      <t>センタク</t>
    </rPh>
    <phoneticPr fontId="23"/>
  </si>
  <si>
    <t>その他（スコアシートに記述）</t>
    <phoneticPr fontId="23"/>
  </si>
  <si>
    <t>＞</t>
    <phoneticPr fontId="35" type="noConversion"/>
  </si>
  <si>
    <t>運用段階</t>
    <rPh sb="0" eb="2">
      <t>ウンヨウ</t>
    </rPh>
    <rPh sb="2" eb="4">
      <t>ダンカイ</t>
    </rPh>
    <phoneticPr fontId="23"/>
  </si>
  <si>
    <t>設計段階（実施設計・施工）</t>
    <rPh sb="0" eb="2">
      <t>セッケイ</t>
    </rPh>
    <rPh sb="2" eb="4">
      <t>ダンカイ</t>
    </rPh>
    <rPh sb="5" eb="7">
      <t>ジッシ</t>
    </rPh>
    <rPh sb="7" eb="9">
      <t>セッケイ</t>
    </rPh>
    <rPh sb="10" eb="12">
      <t>セコウ</t>
    </rPh>
    <phoneticPr fontId="23"/>
  </si>
  <si>
    <t>スコア</t>
    <phoneticPr fontId="23"/>
  </si>
  <si>
    <t>2,900N/㎡ 未満</t>
  </si>
  <si>
    <t>2,900N/㎡ 以上～3,500N/㎡ 未満</t>
  </si>
  <si>
    <t>3,500N/㎡ 以上～4,500N/㎡ 未満</t>
  </si>
  <si>
    <t>4,500N/㎡ 以上</t>
  </si>
  <si>
    <t>レベル３を満たし、評価する取り組みのうち１つの項目に該当する。</t>
  </si>
  <si>
    <t>レベル３を満たし、評価する取り組みのうち２つの項目に該当する。</t>
  </si>
  <si>
    <t>空調設備が同一空間内で細かい区画（グループ単位）に分けて運用ができる。</t>
    <phoneticPr fontId="23"/>
  </si>
  <si>
    <t>評価する取組み（レベル4以上で選択）</t>
    <rPh sb="12" eb="14">
      <t>イジョウ</t>
    </rPh>
    <rPh sb="15" eb="17">
      <t>センタク</t>
    </rPh>
    <phoneticPr fontId="23"/>
  </si>
  <si>
    <t>ワークプレイスに求められている機能が明確化されており、内装計画の段階で、その機能を促進するための取組みが具体的に示されている。（たとえば、オフィスでは、インフォーマルなコミュニケーションの場やリフレッシュ・リラックスの場、トイレ等が生活空間としてのインテリアを意識して演出を行うなどの積極的な工夫を行う等）</t>
  </si>
  <si>
    <t>インテリアパースによる内装計画の事前検証を実施している。</t>
  </si>
  <si>
    <t>評価する取組みがない</t>
  </si>
  <si>
    <t>評価する取組みが1つ</t>
  </si>
  <si>
    <t>評価する取組みが2つ</t>
  </si>
  <si>
    <t>評価する取組みが3つ以上</t>
  </si>
  <si>
    <t>共用部にバイオフィリックデザインに配慮した内装が実現されている</t>
  </si>
  <si>
    <t>作業場所に拡張用のモニターが設置されている</t>
  </si>
  <si>
    <t>個人用の電話、内線電話が携帯化されている</t>
  </si>
  <si>
    <t>建物高さ、壁面位置、外装・屋根・庇・開口部・塀等の形状や色彩において、周辺のまちなみや風景にバランスよく調和させている。</t>
  </si>
  <si>
    <t>歴史的建造物の外装、既存の自然環境等を保存、復元、再生することにより、景観的に地域の歴史性を継承している。</t>
  </si>
  <si>
    <t>周辺にある公園や広場等の人が集まる場所や遠くから対象建物を含む一帯を眺める地点（視点場）からの良好な景観を形成している。</t>
  </si>
  <si>
    <t>外観デザインが入居者の仕事へのモチベーションを高める効果を持つ。またはランドマーク性があり、建物が広く認知されている。</t>
  </si>
  <si>
    <t>[開口率] ＜ 10%</t>
  </si>
  <si>
    <t>該当するレベルなし</t>
  </si>
  <si>
    <t>10％≦ [開口率] ＜15％</t>
  </si>
  <si>
    <t>15％≦ [開口率] ＜20％</t>
  </si>
  <si>
    <t>20％≦ [開口率]</t>
  </si>
  <si>
    <t>何も対策をしていない。</t>
  </si>
  <si>
    <t>2）ゾーン別制御性</t>
  </si>
  <si>
    <t>3）パーソナル制御性</t>
  </si>
  <si>
    <t>B. アネモ型、パン型など拡散性の良い吹出し口の採用</t>
  </si>
  <si>
    <t>C. その他、均質な温度環境を実現するための先端技術の導入</t>
  </si>
  <si>
    <t>ビル用マルチシステム、VAV等、ゾーン単位で空調動作が調整可能な方式の採用</t>
  </si>
  <si>
    <t>パーソナル吹出し、個別ファンの設置等、個人単位での気流感の調整を可能とする取組みの導入</t>
  </si>
  <si>
    <t>1）均質な温熱環境</t>
    <phoneticPr fontId="23"/>
  </si>
  <si>
    <t>ピーク負荷時において、冬期20℃、夏期28℃と多少我慢を強いる室温を実現できる。</t>
  </si>
  <si>
    <t>ピーク負荷時において、一般的な設定値である冬期22℃、夏期26℃の室温を実現できる。</t>
  </si>
  <si>
    <t>（レベル３，５の中間的な取り組み）</t>
  </si>
  <si>
    <t>加湿機能を有す。</t>
  </si>
  <si>
    <t>（レベル3，5の中間的な取組み）</t>
  </si>
  <si>
    <t>外構、テラス、屋上などで植栽、自然に触れられる取組みがない。</t>
  </si>
  <si>
    <t>外構、テラス、屋上などで植栽、自然に触れられる取組みがある。</t>
  </si>
  <si>
    <t>生物多様性評価の取組みがある（JHEP、JBIBによる評価ツールの活用、ABINC認証など）。もしくは下表の取組み内容において、取り組んでいる項目数が２つある。</t>
  </si>
  <si>
    <t>生物多様性評価に関する認証を取得しているなど、高いレベルにあることを第三者が確認している（JHEPのAランク認証以上）。もしくは下表の取組み内容において、取り組んでいる項目数が３つ以上ある。</t>
  </si>
  <si>
    <t>4) トータルの緑地規模
（生態系に有効な屋上緑化、壁面緑化や水面を含む）</t>
    <phoneticPr fontId="23"/>
  </si>
  <si>
    <t>評価する取組み（レベル3以上は、該当する取組みを選択）</t>
    <rPh sb="0" eb="2">
      <t>ヒョウカ</t>
    </rPh>
    <rPh sb="4" eb="6">
      <t>トリク</t>
    </rPh>
    <rPh sb="12" eb="14">
      <t>イジョウ</t>
    </rPh>
    <rPh sb="16" eb="18">
      <t>ガイトウ</t>
    </rPh>
    <rPh sb="20" eb="22">
      <t>トリク</t>
    </rPh>
    <rPh sb="24" eb="26">
      <t>センタク</t>
    </rPh>
    <phoneticPr fontId="23"/>
  </si>
  <si>
    <t>建物内の一部にリフレッシュスペースがある。</t>
  </si>
  <si>
    <t>各階共用部にリフレッシュスペースがあり、自動販売機もしくはウｫーターサーバー等の水分補給可能な設備が設置されている。</t>
  </si>
  <si>
    <t>各階共用部に快適なリフレッシュスペースがあり、自動販売機もしくはウｫーターサーバー等の水分補給可能な設備が設置されている。</t>
  </si>
  <si>
    <t>レベル４を満たし、かつ建物内に多様なニーズに応える複数タイプのリフレッシュ用のスペースが設置されている。</t>
  </si>
  <si>
    <t>専有部にリフレッシュスペースがないが、建物内の一部にリフレッシュスペースがある。</t>
  </si>
  <si>
    <t>各階共用部もしくは専有部にリフレッシュスペースがあり、自動販売機もしくはウｫーターサーバー等の水分補給可能な設備が設置されている。</t>
  </si>
  <si>
    <t>各階共用部もしくは専有部に快適なリフレッシュスペースがあり、自動販売機もしくはウｫーターサーバー等の水分補給可能な設備が設置されている。</t>
  </si>
  <si>
    <t>レベル４を満たし、かつ建物内もしくは専有部に多様なニーズに応える複数タイプのリフレッシュ用のスペースが設置されている。</t>
  </si>
  <si>
    <t>建物内に食事や軽食を取れるスペースがない。</t>
  </si>
  <si>
    <t>建物内に食事や軽食を取れるスペースがある。</t>
  </si>
  <si>
    <t>建物内に快適な食事や軽食を取れるスペースがある。</t>
  </si>
  <si>
    <t>建物内に快適かつ簡易な調理も可能な食事や軽食を取れるスペースがある。</t>
  </si>
  <si>
    <t>建物内もしくは専有部に食事や軽食を取れるスペースがない。</t>
  </si>
  <si>
    <t>建物内もしくは専有部に食事や軽食を取れるスペースがある。</t>
  </si>
  <si>
    <t>建物内もしくは専有部に快適な食事や軽食を取れるスペースがある。</t>
  </si>
  <si>
    <t>建物内もしくは専有部に快適かつ簡易な調理も可能な食事や軽食を取れるスペースがある。</t>
  </si>
  <si>
    <t>敷地内禁煙であり、かつ、非喫煙者への分煙対応が十分である</t>
  </si>
  <si>
    <t>敷地内完全禁煙</t>
  </si>
  <si>
    <t>階段の使用を促進する取組みなどがない。</t>
  </si>
  <si>
    <t>階段の使用を促進する取組みなどがある</t>
  </si>
  <si>
    <t>レベル3を満たし、執務室内に吹き抜け階段を採用する、エントランスホールにてアクセス性のよい位置に階段を設置するなど、ワーカーの階段利用を促進するアクティブ・デザインを採用している。</t>
  </si>
  <si>
    <t>専有部（執務空間）において打ち合わせスペースが一時的に不足する場合がある</t>
  </si>
  <si>
    <t>専有部（執務空間）において打ち合わせスペースが足りている。</t>
  </si>
  <si>
    <t>乗用EV設置台数が３台より多い場合</t>
  </si>
  <si>
    <t>EV評価ポイントの合計が2、3</t>
  </si>
  <si>
    <t>EV評価ポイントの合計が4</t>
  </si>
  <si>
    <t>EV評価ポイントの合計が5</t>
  </si>
  <si>
    <t>EV評価ポイントの合計が6以上</t>
  </si>
  <si>
    <t>乗用EV設置台数が３台以下の場合</t>
  </si>
  <si>
    <t>EV評価ポイントの合計が1</t>
  </si>
  <si>
    <t>EV評価ポイントの合計が2</t>
  </si>
  <si>
    <t>EV評価ポイントの合計が3</t>
  </si>
  <si>
    <t>EV評価ポイントの合計が4以上</t>
  </si>
  <si>
    <t>エレベーターのバンク分けを行っている（高層・低層フロアバンク等）</t>
  </si>
  <si>
    <t>行き先階キャンセル機能がある</t>
  </si>
  <si>
    <t>エレベーター内に災害対応の取り組みがある</t>
  </si>
  <si>
    <t>レベル3を満たさない</t>
  </si>
  <si>
    <t>揺れを抑える装置を導入していない</t>
  </si>
  <si>
    <t>揺れを抑える装置を導入し、部分的に地震時・強風時の内部設備保護が図られている。</t>
  </si>
  <si>
    <t>揺れを抑える装置を導入し、建物全体で地震時・強風時の内部設備保護が図られている。</t>
  </si>
  <si>
    <t>既存建築物において、取組み状況が不明、もしくは計測実績によるホルムアルデヒドの室内濃度が室内濃度指針値を超えている。</t>
  </si>
  <si>
    <t>PRTR制度における対象物質を含有しない建材種別がない。または確認していない。</t>
  </si>
  <si>
    <t>PRTR制度における対象物質を含有しない建材種別が1つ以上～3つ以下ある。</t>
  </si>
  <si>
    <t>PRTR制度における対象物質を含有しない建材種別が4つ以上ある。</t>
  </si>
  <si>
    <t>給水管には、破損、腐食および詰まりなどによる水質劣化を防止する措置が講じられている</t>
  </si>
  <si>
    <t>給水機器（給水ポンプなど）には、故障、破損、腐食およびつまりなどによる水質劣化を防止する措置が講じられている</t>
  </si>
  <si>
    <t>給湯配管には、破損、腐食、詰まりおよび勾配異常などによる給湯の水質劣化を防止する措置が講じられている</t>
  </si>
  <si>
    <t>給湯機器（給湯ポンプなど）には、故障、破損、腐食およびつまりなどによる給湯の水質劣化を防止する措置が講じられている（局所給湯方式の場合は対象外）</t>
  </si>
  <si>
    <t>受水槽、圧力水槽および高架水槽には、破損、腐食および異物混入などによる水質劣化を防止する措置が講じられている</t>
  </si>
  <si>
    <t>防犯対策の内、1項目以上を実施している</t>
  </si>
  <si>
    <t>維持管理用機能の確保において、充実した取組みが行われている。
（評価する取組みにおいて該当する項目数が6以上）</t>
    <phoneticPr fontId="23"/>
  </si>
  <si>
    <t>維持管理用機能の確保において、取組みが標準的である。
（評価する取組みにおいて該当する項目数が3）</t>
    <phoneticPr fontId="23"/>
  </si>
  <si>
    <t>建築物衛生法における特定建築物の場合</t>
    <phoneticPr fontId="23"/>
  </si>
  <si>
    <t>建築物衛生法における特定建築物に該当しない建築物の場合</t>
    <phoneticPr fontId="23"/>
  </si>
  <si>
    <t>建築・設備の維持保全計画がない。</t>
  </si>
  <si>
    <t>建築・設備の維持保全計画があり、事後保全を実施している。</t>
  </si>
  <si>
    <t>建築・設備の維持保全計画があり、予防保全・事後保全を実施している。</t>
  </si>
  <si>
    <t>レベル４を満たし、さらに維持保全計画を定期的に更新する体制が確立している。</t>
  </si>
  <si>
    <t>特定建築物</t>
  </si>
  <si>
    <t>非特定建築物</t>
    <phoneticPr fontId="23"/>
  </si>
  <si>
    <t>室内の温湿度を計測、記録していない。</t>
  </si>
  <si>
    <t>室内の温湿度を定期的に計測して、継続的に記録している。</t>
  </si>
  <si>
    <t>同左。ただし、温度と相対湿度のみを評価の対象とする。</t>
  </si>
  <si>
    <t>中長期保全計画がない。</t>
  </si>
  <si>
    <t>中長期保全計画がある。</t>
  </si>
  <si>
    <t>レベル３に加え、実施体制が確立されており、計画が実行されている。</t>
  </si>
  <si>
    <t>実施していない</t>
  </si>
  <si>
    <t>入居者に対して、不定期であるが実施している</t>
  </si>
  <si>
    <t>入居者に対して、定期的に実施し、それを以降の改善策に活用している</t>
  </si>
  <si>
    <t>ビル運営のBCPを作成していない。</t>
  </si>
  <si>
    <t>入居組織のBCPを作成していない。</t>
  </si>
  <si>
    <t>ビル運営、入居組織共にBCPを作成しており、計画を実現する設備も整備されている。</t>
  </si>
  <si>
    <t>レベル３を満たし、ビル運営、入居組織共に相互に連携して、定期的に運用状況をチェックし、更新が行われている。</t>
  </si>
  <si>
    <t>建物内において、メンタルヘルスを向上するための取組みが実施されている。</t>
  </si>
  <si>
    <t>レベル３を満たさない</t>
  </si>
  <si>
    <t>レベル3に加え、資格を持つカウンセラー等がサポートしている。かつ、独自のメンタルヘルス対策を実施している。</t>
  </si>
  <si>
    <t>情報共有を促進する取組みがない。</t>
  </si>
  <si>
    <t>ビル内の取組みを周知する掲示板もしくはサイトを有し、ビルサービスやイベントの情報を円滑に周知している。</t>
  </si>
  <si>
    <t>その他の情報共有の取組み</t>
  </si>
  <si>
    <t>データや資料が社内外で安全に共有できる取組み。</t>
  </si>
  <si>
    <t>チャット機能やSNSなどコミュニケーションを円滑化するサービスが社内外問わずに利用可能である。</t>
  </si>
  <si>
    <t>安全にデータを社外に送信するサービスが利用できる。</t>
  </si>
  <si>
    <t>情報セキュリティポリシーや情報セキュリティ管理に関する規程を定め、それを実践している</t>
  </si>
  <si>
    <t>健康を維持・増進するプログラムが2つある。</t>
  </si>
  <si>
    <t>健康を維持・増進するプログラムが3つある。</t>
  </si>
  <si>
    <t>健康を維持・増進するプログラムが4つある。</t>
  </si>
  <si>
    <t>健康を維持・増進するプログラムが5つ以上ある。</t>
  </si>
  <si>
    <t>スマートフォン、タブレットと連動した活動量計や体組成計・血圧計をモニタリングするウェアラブル端末等を社員に提供している。</t>
  </si>
  <si>
    <t>その他の健康維持・増進プログラム</t>
  </si>
  <si>
    <t>3台より多い</t>
    <rPh sb="1" eb="2">
      <t>ダイ</t>
    </rPh>
    <rPh sb="4" eb="5">
      <t>オオ</t>
    </rPh>
    <phoneticPr fontId="23"/>
  </si>
  <si>
    <t>3台以下</t>
    <rPh sb="1" eb="2">
      <t>ダイ</t>
    </rPh>
    <rPh sb="2" eb="4">
      <t>イカ</t>
    </rPh>
    <phoneticPr fontId="23"/>
  </si>
  <si>
    <t>設計段階（竣工)</t>
    <rPh sb="0" eb="2">
      <t>セッケイ</t>
    </rPh>
    <rPh sb="2" eb="4">
      <t>ダンカイ</t>
    </rPh>
    <rPh sb="5" eb="7">
      <t>シュンコウ</t>
    </rPh>
    <phoneticPr fontId="23"/>
  </si>
  <si>
    <t>設計段階（竣工後1年未満）</t>
    <rPh sb="0" eb="2">
      <t>セッケイ</t>
    </rPh>
    <rPh sb="2" eb="4">
      <t>ダンカイ</t>
    </rPh>
    <phoneticPr fontId="23"/>
  </si>
  <si>
    <t>（該当するレベルなし）</t>
    <phoneticPr fontId="23"/>
  </si>
  <si>
    <t>レベル４に加え、交流を促進するイベントや取り組みなどを実施している。</t>
    <phoneticPr fontId="23"/>
  </si>
  <si>
    <t>レベル４に加え、専有部（執務空間）のレイアウト計画においても会話を誘発するような動線上の工夫や会話のための空間が考慮されている。</t>
    <phoneticPr fontId="23"/>
  </si>
  <si>
    <t>劣悪項目数</t>
    <rPh sb="0" eb="2">
      <t>レツアク</t>
    </rPh>
    <rPh sb="2" eb="5">
      <t>コウモクスウ</t>
    </rPh>
    <phoneticPr fontId="23"/>
  </si>
  <si>
    <t>0項目</t>
    <rPh sb="1" eb="3">
      <t>コウモク</t>
    </rPh>
    <phoneticPr fontId="23"/>
  </si>
  <si>
    <t>1項目</t>
    <rPh sb="1" eb="3">
      <t>コウモク</t>
    </rPh>
    <phoneticPr fontId="23"/>
  </si>
  <si>
    <t>2項目</t>
    <rPh sb="1" eb="3">
      <t>コウモク</t>
    </rPh>
    <phoneticPr fontId="23"/>
  </si>
  <si>
    <t>3項目以上</t>
    <rPh sb="1" eb="5">
      <t>コウモクイジョウ</t>
    </rPh>
    <phoneticPr fontId="23"/>
  </si>
  <si>
    <t>0ポイント</t>
    <phoneticPr fontId="23"/>
  </si>
  <si>
    <t>1ポイント</t>
    <phoneticPr fontId="23"/>
  </si>
  <si>
    <t>2ポイント</t>
    <phoneticPr fontId="23"/>
  </si>
  <si>
    <t>3ポイント</t>
    <phoneticPr fontId="23"/>
  </si>
  <si>
    <t>基準不適合
項目数</t>
    <rPh sb="0" eb="2">
      <t>キジュン</t>
    </rPh>
    <rPh sb="2" eb="5">
      <t>フテキゴウ</t>
    </rPh>
    <rPh sb="6" eb="9">
      <t>コウモクスウ</t>
    </rPh>
    <phoneticPr fontId="23"/>
  </si>
  <si>
    <t>2～4項目</t>
    <rPh sb="3" eb="5">
      <t>コウモク</t>
    </rPh>
    <phoneticPr fontId="23"/>
  </si>
  <si>
    <t>5項目以上</t>
    <rPh sb="1" eb="5">
      <t>コウモクイジョウ</t>
    </rPh>
    <phoneticPr fontId="23"/>
  </si>
  <si>
    <t>維持管理用機能の確保において、取組みが十分でない。
（評価する取組みにおいて該当する項目数が0～2）</t>
    <phoneticPr fontId="23"/>
  </si>
  <si>
    <t>2020年●月</t>
    <rPh sb="4" eb="5">
      <t>ネン</t>
    </rPh>
    <rPh sb="6" eb="7">
      <t>ガツ</t>
    </rPh>
    <phoneticPr fontId="23"/>
  </si>
  <si>
    <t>空調設備もしくは照明設備が、レイアウト変更に対応した区画に分けて運用できる。</t>
  </si>
  <si>
    <t>空調設備が同一フロア内で大まかな区画（例：インテリア・ペリメータ別）で冷房・暖房の選択が自由なシステムとしている。</t>
    <phoneticPr fontId="23"/>
  </si>
  <si>
    <t>知的生産性を高めるという観点では特に検討されていない。</t>
  </si>
  <si>
    <t>知的生産性を高めるという観点から働き方に即したレイアウト計画・整備がされており、集中しやすい作業スペース、フォーマル・インフォーマルなコミュニケーションの場、リフレッシュ・リラックスの場等が計画・整備されている。</t>
  </si>
  <si>
    <t>専有部分における内装のコンセプトが明確にあり、内装計画の段階で、コンセプトを反映するための取組みが具体的にされている。（たとえばバイオフィリックデザインをテーマとする場合に植栽やアクアリウム等の自然を取り入れる等）</t>
  </si>
  <si>
    <t>照明と内装が一体として計画されるよう、内装計画の段階で、具体的な取組みがある。（例えば、用途に適した雰囲気を演出するために行っている照明設備の工夫や光源の色温度の計画を内装計画と合わせて実施している等）</t>
  </si>
  <si>
    <t>オフィス什器が、ワーカーの作業環境に配慮して選定されていない。</t>
  </si>
  <si>
    <t>オフィス什器が、ワーカーの作業環境に配慮して選定されている。</t>
  </si>
  <si>
    <t>レベル３を満たし、かつワーカーが使用するオフィス什器を選択できる。</t>
  </si>
  <si>
    <t>レベル４を満たし、かつワーカーが健康に配慮されたオフィス什器を自由に選択できる。</t>
  </si>
  <si>
    <t>フロア内でWi-Fi環境が整っている</t>
  </si>
  <si>
    <t xml:space="preserve">建物の外観デザインに対して、取組みが十分とはいえない。（評価ポイント1～2）
</t>
    <phoneticPr fontId="23"/>
  </si>
  <si>
    <t xml:space="preserve">建物の外観デザインに対して、標準的な配慮が行われている。（評価ポイント3）
</t>
    <phoneticPr fontId="23"/>
  </si>
  <si>
    <t xml:space="preserve">建物の外観デザインに対して、標準以上の配慮が行われている。（評価ポイント4）
</t>
    <phoneticPr fontId="23"/>
  </si>
  <si>
    <t>建物の外観デザインに対して、充実した取組みが行われている。
（評価ポイント5以上、または地域のまちなみ・景観に関する賞を受賞している）</t>
    <phoneticPr fontId="23"/>
  </si>
  <si>
    <t>壁・床・天井のうち二面に吸音材を使用している</t>
  </si>
  <si>
    <t>壁・床・天井の三面に吸音材を使用している。</t>
    <phoneticPr fontId="23"/>
  </si>
  <si>
    <t>壁・床・天井の三面に吸音材を使用している。もしくはレベル３、４に加えサイレントスペースの設置等によりワーカーが集中できる環境を提供している</t>
    <phoneticPr fontId="23"/>
  </si>
  <si>
    <t>注１）自動制御ブラインド等とは、太陽位置の変化等に応じてブラインドの羽の角度を自動的に制御するものや、温度等に応じて窓面の透過率を自動的に調整し、輝度を抑制するもの等を指す。</t>
    <phoneticPr fontId="23"/>
  </si>
  <si>
    <t>A. 天井・床放射冷暖房方式もしくは床吹出し方式の採用</t>
  </si>
  <si>
    <t>D. 採用方式や技術にかかわらず、実測、実大実験、CFD解析等により、上下温度差や不快な気流感が発生しない良好な温度環境を実現していることを確認している</t>
  </si>
  <si>
    <t>冬期24℃、夏期24℃の室温を実現できる、もしくはレベル３を満たし、かつ突発的な酷暑日等、屋外環境が想定設計条件を超えるような日においても、レベル３程度の室内環境が提供できる。</t>
  </si>
  <si>
    <t>窓システム、外壁において熱の侵入に対して配慮が無く、断熱性能が低い。</t>
  </si>
  <si>
    <t>（レベル３，５の中間的な取組み）</t>
    <phoneticPr fontId="23"/>
  </si>
  <si>
    <t>注１）　建築物環境衛生管理基準の湿度下限値
注２）　ここで除湿機能とは、年間を通し一定の範囲で湿度を制御できる機構を意味する。
注３）　オフィスの室内環境評価法 「POEM-O」における至適域</t>
    <phoneticPr fontId="23"/>
  </si>
  <si>
    <t>自然換気のための窓もしくは換気口がある。</t>
  </si>
  <si>
    <t>レベル３を満たし、十分な自然換気量を確保する取組みがなされている。</t>
  </si>
  <si>
    <t>レベル４を満たし、自然換気窓もしくは換気口の開閉が、適切に運用できる取組みがなされている。もしくは、中間期に自然換気のみで、室内環境を概ね良好な状態に保てる。</t>
  </si>
  <si>
    <t>事務室の天井高さが2.5m以上であり、かつ、すべてのワーカーが十分な屋外の情報を得られるように窓が設置されている。</t>
  </si>
  <si>
    <t>事務室の天井高さが2.7m以上であり、かつ、すべてのワーカーが十分な屋外の情報を得られるように窓が設置されている。</t>
  </si>
  <si>
    <t>事務室の天井高さが2.9m以上であり、かつ、すべてのワーカーが十分な屋外の情報を得られるように窓が設置されている。</t>
  </si>
  <si>
    <t>執務空間で植栽等の自然を感じることができない。</t>
  </si>
  <si>
    <t>執務空間で植栽等の自然を部分的に感じることができる。
（オフィスの半数位の人が自席から植栽等を観ることができる）</t>
    <phoneticPr fontId="23"/>
  </si>
  <si>
    <t>（レベル3，5の中間的な取組み）</t>
    <phoneticPr fontId="23"/>
  </si>
  <si>
    <t>執務空間で植栽等の自然を全面的に感じることができる。
（自席、打ち合わせスペースのどこからでも植栽等を観ることができる。）</t>
    <phoneticPr fontId="23"/>
  </si>
  <si>
    <t>1) 自然資源の保全</t>
  </si>
  <si>
    <t>2) 種の多様性の保全を目的とした多様な生態空間の創出</t>
  </si>
  <si>
    <t>3) 周辺の自然植生に配慮した環境づくり</t>
  </si>
  <si>
    <t>5) 生物資源の管理と利用</t>
  </si>
  <si>
    <t>6) 屋外温熱環境の適正化</t>
  </si>
  <si>
    <t>存在する樹林などの植生に配慮し、まとまった自然資源を保全している</t>
  </si>
  <si>
    <t>種の多様性に配慮している</t>
  </si>
  <si>
    <t>地域の植生に配慮した緑地計画としている</t>
  </si>
  <si>
    <t>敷地利用計画において緑化率が20％以上（敷地面積に対する緑化面積の概略評価でよい）</t>
  </si>
  <si>
    <t>建物運用時における緑地等の維持管理に必要な設備を設置し、かつ管理方針を示している。あるいは、建物利用者や地域住民が生物とふれあい自然に親しめる環境や施設等を確保している。</t>
  </si>
  <si>
    <t>風通しへの配慮、保水性舗装材の利用、外装への再帰性建材の利用等により、良好な屋外温熱環境を確保している。</t>
  </si>
  <si>
    <t>標準的な器具数が設置されており、かつ標準的な配慮が行われている。
（評価項目が２つ以上、５つ未満）</t>
    <phoneticPr fontId="23"/>
  </si>
  <si>
    <t>レベル４を満たし、多様な利用者を意識した設計となっている。</t>
    <phoneticPr fontId="23"/>
  </si>
  <si>
    <t>大便器ブース内に利用者が清拭できる設備（アルコール除菌設備等）が装備されている。</t>
  </si>
  <si>
    <t>トイレの利用において出入口扉の接触回数を減らす工夫がある、もしくは接触後に手指を消毒できるよう備品が提供されている。</t>
  </si>
  <si>
    <t>トイレ空間内で封水を防止する取組み（破封防止液の注入や定期の給水等）を実施している</t>
  </si>
  <si>
    <t>建物内にリフレッシュスペースがない。</t>
  </si>
  <si>
    <t>専有部もしくは建物内にリフレッシュスペースがない。</t>
  </si>
  <si>
    <t>原則屋内禁煙、もしくは敷地内禁煙　（改正健康増進法対応）</t>
  </si>
  <si>
    <t>会話を誘発するような動線上の工夫や会話のための空間が共用部にない。</t>
  </si>
  <si>
    <t>会話を誘発するような動線上の工夫や会話のための空間が共用部にある。</t>
  </si>
  <si>
    <t>エレベーターの安全・耐震基準への対応ができている（2014年国交省告示対応）</t>
  </si>
  <si>
    <t>荷物搬入専用のエレベーターがある</t>
  </si>
  <si>
    <t>建物内に建物利用者が使用可能なアクセス性が高い打ち合わせスペースがない</t>
  </si>
  <si>
    <t>建物内に建物利用者が使用可能なアクセス性が高い打ち合わせスペースがある。</t>
  </si>
  <si>
    <t>専有部（執務空間）において打ち合わせスペースが一時的に不足する場合があるが、共用部やアクセス性が高い周辺に代替可能な打ち合わせスペースで補填できている。</t>
  </si>
  <si>
    <t>ＯＡフロア等によりレイアウト変更に対応できるようになっており、かつＯＡ機器用コンセント容量が30ＶＡ/ｍ2以上となっている。</t>
  </si>
  <si>
    <t>ＯＡフロア等によりレイアウト変更に対応できるようになっており、かつＯＡ機器用コンセント容量が30ＶＡ/ｍ2以上となっており、通信用の配線その他の設備スペースを確保している。</t>
  </si>
  <si>
    <t>ＯＡフロア等によりレイアウト変更に対応できるようになっており、かつＯＡ機器用コンセント容量が40ＶＡ/ｍ2以上となっており、通信用の配線その他の設備スペースを確保している。</t>
  </si>
  <si>
    <t>レベル4に加え、サーバールーム対応などの局所的な高負荷に対応する50VA/㎡以上のゾーンが設定されている。</t>
  </si>
  <si>
    <t>建物全体の床面積の合計が2000㎡以上の場合</t>
    <phoneticPr fontId="23"/>
  </si>
  <si>
    <t>建築基準法を満たしており、かつ建築基準法規制対象外となる建築材料（告示対象外の建材およびJIS・JAS規格のＦ☆☆☆☆）をほぼ全面的（床・壁・天井・天井裏の面積の合計の70％以上の面積）に採用している。もしくは計測実績によるホルムアルデヒドの室内濃度が75μg/m3以下。</t>
    <phoneticPr fontId="23"/>
  </si>
  <si>
    <t>建築基準法を満たしている。もしくは計測実績によるホルムアルデヒドの室内濃度が100μg/m3以下。</t>
    <phoneticPr fontId="23"/>
  </si>
  <si>
    <t>レベル4を満たしており、かつホルムアルデヒド以外のVOCについても放散量が少ない建材を全面的に採用している。もしくは計測実績によるホルムアルデヒドの室内濃度が50μg/m3以下。</t>
    <phoneticPr fontId="23"/>
  </si>
  <si>
    <t>飲料水として使用できない中水などには、そのことを給水箇所に明示する</t>
  </si>
  <si>
    <t>窓等の人感センサの設置</t>
  </si>
  <si>
    <t>窓の開口部センサの設置</t>
  </si>
  <si>
    <t>管理員の常駐もしくは24時間セキュリティサービスへの加入</t>
  </si>
  <si>
    <t>その他（エレベーターかご内カードリーダー、生体認証装置、キーボックス等）</t>
  </si>
  <si>
    <t>（該当するレベルなし）</t>
    <phoneticPr fontId="23"/>
  </si>
  <si>
    <t>維持管理に配慮した設計において、取組みが標準である。
（評価する取組みにおいて該当する項目数が2～4）</t>
    <phoneticPr fontId="23"/>
  </si>
  <si>
    <t>維持管理に配慮した設計において、取組みが標準を超えている。
（評価する取組みにおいて該当する項目数が5～6）</t>
    <phoneticPr fontId="23"/>
  </si>
  <si>
    <t>維持管理に配慮した設計において、充実した取組みが行われている。
（評価する取組みにおいて該当する項目数が7以上）</t>
    <phoneticPr fontId="23"/>
  </si>
  <si>
    <t>内装仕上げ：内壁面は防汚性の高い仕上げ方法や建材、塗装、コーティングを採用している。</t>
    <phoneticPr fontId="23"/>
  </si>
  <si>
    <t>内装仕上げ：床面は防汚性の高い建材、塗装、コーティングを採用している。</t>
    <phoneticPr fontId="23"/>
  </si>
  <si>
    <t>内装設計：床面は適度な水を使用して洗浄可能な設計・構造を採用している。</t>
    <phoneticPr fontId="23"/>
  </si>
  <si>
    <t>内装設計：内壁や床面において設計上ホコリの溜まりにくい設計や機器・設備等を固定しない設計を採用している。</t>
    <phoneticPr fontId="23"/>
  </si>
  <si>
    <t>内装設計：維持管理方法が大きく異なる床材を接近させていない。</t>
    <phoneticPr fontId="23"/>
  </si>
  <si>
    <t>内装・外構設計：外構、管理用区域を含む動線は極力段差の無い（５mm程度以内）設計をしている。</t>
    <phoneticPr fontId="23"/>
  </si>
  <si>
    <t>その他：上記以外の部分にて維持管理に配慮した設計の取組みをしている。</t>
    <phoneticPr fontId="23"/>
  </si>
  <si>
    <t>上記以外に維持管理用機能の確保を考慮した取組みを実施している。</t>
    <phoneticPr fontId="23"/>
  </si>
  <si>
    <t>建物の延床面積に対し、適切なスペースの清掃員控え室を設置している。</t>
    <phoneticPr fontId="23"/>
  </si>
  <si>
    <t>建物の延床面積に対し、適切なスペースの清掃用具室と管理倉庫の設置をしている。</t>
    <phoneticPr fontId="23"/>
  </si>
  <si>
    <t>廃棄物・リサイクル・粗大ゴミのスペースを建物の延床面積に対して十分に確保し、かつ、搬出が容易な計画となっている。</t>
    <phoneticPr fontId="23"/>
  </si>
  <si>
    <t>外部ガラスや外壁、給排気口、照明など高所の維持管理作業を安全に行える設計をしている。</t>
    <phoneticPr fontId="23"/>
  </si>
  <si>
    <t>天井隠蔽機器の点検に必要な点検口サイズを確保している。</t>
    <phoneticPr fontId="23"/>
  </si>
  <si>
    <t>専用部以外の諸設備の維持管理作業を、共用部で行うことが可能となっている。</t>
    <phoneticPr fontId="23"/>
  </si>
  <si>
    <t>清掃用資材を保管するスペースを計画している。</t>
    <phoneticPr fontId="23"/>
  </si>
  <si>
    <t>廃棄物のスペースを確保し、搬出も容易な計画となっている。</t>
    <phoneticPr fontId="23"/>
  </si>
  <si>
    <t>専用の清掃用流しや水道を設置している。</t>
    <phoneticPr fontId="23"/>
  </si>
  <si>
    <t>天井隠蔽機器の点検口は点検の際に必要なサイズを確保している。</t>
    <phoneticPr fontId="23"/>
  </si>
  <si>
    <t>専用部以外の諸設備は共用部での維持管理作業が可能となっている。</t>
    <phoneticPr fontId="23"/>
  </si>
  <si>
    <t>上記以外に維持管理用機能の確保を考慮したポイントを明確にし、実施している。</t>
    <phoneticPr fontId="23"/>
  </si>
  <si>
    <t>維持管理用機能の確保において、取組みが標準を超えている。
（評価する取組みにおいて該当する項目数が4～5）</t>
    <phoneticPr fontId="23"/>
  </si>
  <si>
    <t>法令に基づく定期調査・検査の報告が一部提出できていない、または要是正事項の内容が重篤かつ未是正</t>
  </si>
  <si>
    <t>法令に基づく定期調査・検査の報告が全て提出され、要是正事項も軽微であり是正済みである</t>
  </si>
  <si>
    <t>レベル３を満たし、さらに建物側で自主的な追加検査を実施し、全ての調査・検査記録などが保管されている。</t>
  </si>
  <si>
    <t>建築物環境衛生管理基準の「空気環境の調整」における基準に適合していない時間帯が多くある（「劣悪項目ポイント」＋「基準不適合項目ポイント」が４ポイント以上）。</t>
  </si>
  <si>
    <t>建築物環境衛生管理基準の「空気環境の調整」における基準に一部、適合していない時間帯がある（「劣悪項目ポイント」＋「基準不適合項目ポイント」が３ポイントの場合）</t>
  </si>
  <si>
    <t>建築物環境衛生管理基準の「空気環境の調整」における基準に概ね全ての計測結果において適合しており、記録が保管されている（「劣悪項目ポイント」＋「基準不適合項目ポイント」が２ポイント以下）。</t>
  </si>
  <si>
    <t>入居者もしくは入居組織に対して、不定期であるが実施している</t>
  </si>
  <si>
    <t>入居者もしくは入居組織に対して、定期的に実施し、それを以降の改善策に活用している</t>
  </si>
  <si>
    <t>レベル４を満たし、震災被災後のビルの被災状況を把握するシステムを導入している。</t>
    <phoneticPr fontId="23"/>
  </si>
  <si>
    <t>建物内に十分な数と必要に応じた配置となっており、施設利用者への教育活動も実施している。</t>
    <phoneticPr fontId="23"/>
  </si>
  <si>
    <t>レベル4に加え、建物内に資格を持つカウンセラー等がサポートする施設を有するなど、人的サポート体制がある。</t>
  </si>
  <si>
    <t>健康診断、ストレスチェックが行われていない</t>
  </si>
  <si>
    <t>ビル側の取組みとして、情報共有を促進する取組みがない。</t>
  </si>
  <si>
    <t>ビル側の取組みとして、情報共有を促進する取組み(取組み表(1))が１つある。</t>
  </si>
  <si>
    <t>ビル側の取組みとして、情報共有を促進する取組み(取組み表(1))が2つある。</t>
  </si>
  <si>
    <t>ビル側の取組みとして、情報共有を促進する取組み(取組み表(1))が3つ以上ある。</t>
  </si>
  <si>
    <t>パターン１のレベル３の内容に加え、勤務管理、業務管理などが社内インフラにて実施可能である。</t>
  </si>
  <si>
    <t>地域イベントへの参加、入居者対象イベント等によるワーカー相互の交流促進を行っている。</t>
  </si>
  <si>
    <t>加入している健康保険組合が各種補助やセミナーなどを実施し、ワーカーが利用している。</t>
  </si>
  <si>
    <t>ビルの使い勝手などの意見を受け付ける窓口が開設され、意見に対するフィードバックを行っている。</t>
  </si>
  <si>
    <t>テナント利用者やゲストに対して共用部でのWi-Fi接続を可能とする仕組みがある。</t>
  </si>
  <si>
    <t>ビル内の感染症予防対策の取組み状況が利用者に周知されている</t>
  </si>
  <si>
    <t>テナント利用組織に対して、専有部における安全対策の実施と傷病者発生の状況に関する情報共有を文章で依頼している</t>
  </si>
  <si>
    <t>情報共有インフラ</t>
    <phoneticPr fontId="23"/>
  </si>
  <si>
    <t>水質安全性対策評価項目</t>
    <rPh sb="0" eb="2">
      <t>スイシツ</t>
    </rPh>
    <rPh sb="2" eb="5">
      <t>アンゼンセイ</t>
    </rPh>
    <rPh sb="5" eb="7">
      <t>タイサク</t>
    </rPh>
    <rPh sb="7" eb="9">
      <t>ヒョウカ</t>
    </rPh>
    <rPh sb="9" eb="11">
      <t>コウモク</t>
    </rPh>
    <phoneticPr fontId="23"/>
  </si>
  <si>
    <t xml:space="preserve">ポイント数 </t>
    <rPh sb="4" eb="5">
      <t>スウ</t>
    </rPh>
    <rPh sb="5" eb="6">
      <t>クミスウ</t>
    </rPh>
    <phoneticPr fontId="23"/>
  </si>
  <si>
    <t>-</t>
    <phoneticPr fontId="23"/>
  </si>
  <si>
    <t>（2）入居組織の取組み（パターン２，３の場合）</t>
    <phoneticPr fontId="23"/>
  </si>
  <si>
    <t>健康維持・増進プログラム</t>
    <rPh sb="2" eb="4">
      <t>イジ</t>
    </rPh>
    <phoneticPr fontId="23"/>
  </si>
  <si>
    <t>レベル３およびパターン１のレベル4の内容に加え、入居組織の取組みとして情報共有を促進する取組み(取組み表(2))が1つある。</t>
    <phoneticPr fontId="23"/>
  </si>
  <si>
    <t>レベル３およびパターン１のレベル5の内容に加え、入居組織の取組みとして情報共有を促進する取組み(取組み表(2))が2つ以上ある。</t>
    <phoneticPr fontId="23"/>
  </si>
  <si>
    <t>その他</t>
    <rPh sb="2" eb="3">
      <t>ﾎｶ</t>
    </rPh>
    <phoneticPr fontId="35" type="noConversion"/>
  </si>
  <si>
    <t>Qw1 安全・安心性</t>
    <rPh sb="4" eb="6">
      <t>ｱﾝｾﾞﾝ</t>
    </rPh>
    <rPh sb="7" eb="9">
      <t>ｱﾝｼﾝ</t>
    </rPh>
    <rPh sb="9" eb="10">
      <t>ｾｲ</t>
    </rPh>
    <phoneticPr fontId="35" type="noConversion"/>
  </si>
  <si>
    <r>
      <t>Qw1</t>
    </r>
    <r>
      <rPr>
        <b/>
        <sz val="14"/>
        <rFont val="ＭＳ Ｐゴシック"/>
        <family val="3"/>
        <charset val="128"/>
      </rPr>
      <t>　安全・安心性</t>
    </r>
    <phoneticPr fontId="23"/>
  </si>
  <si>
    <r>
      <t>Qw2</t>
    </r>
    <r>
      <rPr>
        <b/>
        <sz val="14"/>
        <rFont val="ＭＳ Ｐゴシック"/>
        <family val="3"/>
        <charset val="128"/>
      </rPr>
      <t>　健康性・快適性</t>
    </r>
    <phoneticPr fontId="23"/>
  </si>
  <si>
    <t>デザイン性</t>
    <rPh sb="4" eb="5">
      <t>セイ</t>
    </rPh>
    <phoneticPr fontId="23"/>
  </si>
  <si>
    <r>
      <t>Qw3</t>
    </r>
    <r>
      <rPr>
        <b/>
        <sz val="14"/>
        <rFont val="ＭＳ Ｐゴシック"/>
        <family val="3"/>
        <charset val="128"/>
      </rPr>
      <t>　知的生産性向上</t>
    </r>
    <rPh sb="4" eb="6">
      <t>チテキ</t>
    </rPh>
    <rPh sb="6" eb="9">
      <t>セイサンセイ</t>
    </rPh>
    <rPh sb="9" eb="11">
      <t>コウジョウ</t>
    </rPh>
    <phoneticPr fontId="23"/>
  </si>
  <si>
    <t>1.1.1 空間の形状・自由さ</t>
    <rPh sb="6" eb="8">
      <t>クウカン</t>
    </rPh>
    <rPh sb="9" eb="11">
      <t>ケイジョウ</t>
    </rPh>
    <rPh sb="12" eb="14">
      <t>ジユウ</t>
    </rPh>
    <phoneticPr fontId="119"/>
  </si>
  <si>
    <t>1.1.1　躯体の耐震性能</t>
    <phoneticPr fontId="23"/>
  </si>
  <si>
    <t>評価する取組み</t>
    <rPh sb="0" eb="2">
      <t>ヒョウカ</t>
    </rPh>
    <rPh sb="4" eb="6">
      <t>トリクミ</t>
    </rPh>
    <phoneticPr fontId="23"/>
  </si>
  <si>
    <t>給排水設備の設置自由度</t>
    <phoneticPr fontId="23"/>
  </si>
  <si>
    <t>執務室内に後からキッチン、パントリーなどの水廻り空間を設置することはできない</t>
  </si>
  <si>
    <t>執務室内に後からキッチン、パントリーなどの水廻り空間を、一部の範囲で設置が可能</t>
  </si>
  <si>
    <t>執務室内に後からキッチン、パントリーなどの水廻り空間を、専有部内の多くの場所に対して設置が可能</t>
  </si>
  <si>
    <t>防犯、非常時対応</t>
    <rPh sb="0" eb="2">
      <t>ボウハン</t>
    </rPh>
    <rPh sb="3" eb="6">
      <t>ヒジョウジ</t>
    </rPh>
    <rPh sb="6" eb="8">
      <t>タイオウ</t>
    </rPh>
    <phoneticPr fontId="23"/>
  </si>
  <si>
    <r>
      <t>2.1　</t>
    </r>
    <r>
      <rPr>
        <sz val="11"/>
        <rFont val="ＭＳ Ｐゴシック"/>
        <family val="3"/>
        <charset val="128"/>
      </rPr>
      <t>セキュリティ設備</t>
    </r>
    <rPh sb="10" eb="12">
      <t>セツビ</t>
    </rPh>
    <phoneticPr fontId="119"/>
  </si>
  <si>
    <r>
      <t>2.2　</t>
    </r>
    <r>
      <rPr>
        <sz val="11"/>
        <rFont val="ＭＳ Ｐゴシック"/>
        <family val="3"/>
        <charset val="128"/>
      </rPr>
      <t>AEDの設置</t>
    </r>
    <rPh sb="8" eb="10">
      <t>セッチ</t>
    </rPh>
    <phoneticPr fontId="119"/>
  </si>
  <si>
    <t>ユニバーサルデザイン</t>
    <phoneticPr fontId="23"/>
  </si>
  <si>
    <r>
      <t>5.1　</t>
    </r>
    <r>
      <rPr>
        <sz val="11"/>
        <rFont val="ＭＳ Ｐゴシック"/>
        <family val="3"/>
        <charset val="128"/>
      </rPr>
      <t>バリアフリー法への対応</t>
    </r>
    <phoneticPr fontId="119"/>
  </si>
  <si>
    <r>
      <t>4.1　</t>
    </r>
    <r>
      <rPr>
        <sz val="11"/>
        <rFont val="ＭＳ Ｐゴシック"/>
        <family val="3"/>
        <charset val="128"/>
      </rPr>
      <t>水質安全性</t>
    </r>
    <rPh sb="4" eb="6">
      <t>スイシツ</t>
    </rPh>
    <rPh sb="6" eb="9">
      <t>アンゼンセイ</t>
    </rPh>
    <phoneticPr fontId="119"/>
  </si>
  <si>
    <r>
      <t>3.1　</t>
    </r>
    <r>
      <rPr>
        <sz val="11"/>
        <rFont val="ＭＳ Ｐゴシック"/>
        <family val="3"/>
        <charset val="128"/>
      </rPr>
      <t>化学汚染物質</t>
    </r>
    <phoneticPr fontId="119"/>
  </si>
  <si>
    <r>
      <t>3.2　</t>
    </r>
    <r>
      <rPr>
        <sz val="11"/>
        <rFont val="ＭＳ Ｐゴシック"/>
        <family val="3"/>
        <charset val="128"/>
      </rPr>
      <t>有害物質を含まない材料の使用</t>
    </r>
    <phoneticPr fontId="119"/>
  </si>
  <si>
    <t>3.3.1　アスべスト、PCB対応</t>
    <phoneticPr fontId="119"/>
  </si>
  <si>
    <t>3.3.2　土壌汚染等対応</t>
    <phoneticPr fontId="119"/>
  </si>
  <si>
    <t>Qw2 健康性・快適性</t>
    <rPh sb="4" eb="7">
      <t>ｹﾝｺｳｾｲ</t>
    </rPh>
    <rPh sb="8" eb="10">
      <t>ｶｲﾃｷ</t>
    </rPh>
    <rPh sb="10" eb="11">
      <t>ｾｲ</t>
    </rPh>
    <phoneticPr fontId="35" type="noConversion"/>
  </si>
  <si>
    <r>
      <t>1.1　</t>
    </r>
    <r>
      <rPr>
        <sz val="11"/>
        <rFont val="ＭＳ Ｐゴシック"/>
        <family val="3"/>
        <charset val="128"/>
      </rPr>
      <t>外観デザイン</t>
    </r>
    <phoneticPr fontId="119"/>
  </si>
  <si>
    <r>
      <t xml:space="preserve">1.2 </t>
    </r>
    <r>
      <rPr>
        <sz val="11"/>
        <rFont val="ＭＳ Ｐゴシック"/>
        <family val="3"/>
        <charset val="128"/>
      </rPr>
      <t>内装計画</t>
    </r>
    <rPh sb="4" eb="6">
      <t>ナイソウ</t>
    </rPh>
    <rPh sb="6" eb="8">
      <t>ケイカク</t>
    </rPh>
    <phoneticPr fontId="119"/>
  </si>
  <si>
    <t>1.2.1　専有部の内装計画</t>
    <rPh sb="6" eb="9">
      <t>センユウブ</t>
    </rPh>
    <phoneticPr fontId="119"/>
  </si>
  <si>
    <t>1.2.2　共用部の内装計画</t>
    <rPh sb="6" eb="8">
      <t>キョウヨウ</t>
    </rPh>
    <rPh sb="8" eb="9">
      <t>ブ</t>
    </rPh>
    <phoneticPr fontId="119"/>
  </si>
  <si>
    <r>
      <t>2.1　</t>
    </r>
    <r>
      <rPr>
        <sz val="11"/>
        <rFont val="ＭＳ Ｐゴシック"/>
        <family val="3"/>
        <charset val="128"/>
      </rPr>
      <t>オフィスからの眺望</t>
    </r>
    <phoneticPr fontId="119"/>
  </si>
  <si>
    <r>
      <t>2.2　</t>
    </r>
    <r>
      <rPr>
        <sz val="11"/>
        <rFont val="ＭＳ Ｐゴシック"/>
        <family val="3"/>
        <charset val="128"/>
      </rPr>
      <t>室内の植栽・自然とのつながり</t>
    </r>
    <phoneticPr fontId="119"/>
  </si>
  <si>
    <r>
      <t>2.3　</t>
    </r>
    <r>
      <rPr>
        <sz val="11"/>
        <rFont val="ＭＳ Ｐゴシック"/>
        <family val="3"/>
        <charset val="128"/>
      </rPr>
      <t>室外（敷地内）の植栽・自然とのつながり</t>
    </r>
    <phoneticPr fontId="119"/>
  </si>
  <si>
    <r>
      <t>2.4　</t>
    </r>
    <r>
      <rPr>
        <sz val="11"/>
        <rFont val="ＭＳ Ｐゴシック"/>
        <family val="3"/>
        <charset val="128"/>
      </rPr>
      <t>トイレの充足性・機能性</t>
    </r>
    <phoneticPr fontId="119"/>
  </si>
  <si>
    <r>
      <t>2.6　</t>
    </r>
    <r>
      <rPr>
        <sz val="11"/>
        <rFont val="ＭＳ Ｐゴシック"/>
        <family val="3"/>
        <charset val="128"/>
      </rPr>
      <t>リフレッシュスペース</t>
    </r>
    <phoneticPr fontId="119"/>
  </si>
  <si>
    <r>
      <t>3.1　</t>
    </r>
    <r>
      <rPr>
        <sz val="11"/>
        <rFont val="ＭＳ Ｐゴシック"/>
        <family val="3"/>
        <charset val="128"/>
        <scheme val="minor"/>
      </rPr>
      <t>運動促進・支援機能</t>
    </r>
    <phoneticPr fontId="119"/>
  </si>
  <si>
    <r>
      <t>3.2　</t>
    </r>
    <r>
      <rPr>
        <sz val="11"/>
        <rFont val="ＭＳ Ｐゴシック"/>
        <family val="3"/>
        <charset val="128"/>
        <scheme val="minor"/>
      </rPr>
      <t>階段の位置・アクセス表示</t>
    </r>
    <phoneticPr fontId="119"/>
  </si>
  <si>
    <r>
      <t>4.1　</t>
    </r>
    <r>
      <rPr>
        <sz val="11"/>
        <rFont val="ＭＳ Ｐゴシック"/>
        <family val="3"/>
        <charset val="128"/>
      </rPr>
      <t>室内騒音レベル</t>
    </r>
    <phoneticPr fontId="119"/>
  </si>
  <si>
    <r>
      <t>4.2　</t>
    </r>
    <r>
      <rPr>
        <sz val="11"/>
        <rFont val="ＭＳ Ｐゴシック"/>
        <family val="3"/>
        <charset val="128"/>
      </rPr>
      <t>吸音</t>
    </r>
    <phoneticPr fontId="119"/>
  </si>
  <si>
    <r>
      <t>5.1　</t>
    </r>
    <r>
      <rPr>
        <sz val="11"/>
        <rFont val="ＭＳ Ｐゴシック"/>
        <family val="3"/>
        <charset val="128"/>
      </rPr>
      <t>自然光の導入</t>
    </r>
    <rPh sb="4" eb="7">
      <t>シゼンコウ</t>
    </rPh>
    <rPh sb="8" eb="10">
      <t>ドウニュウ</t>
    </rPh>
    <phoneticPr fontId="119"/>
  </si>
  <si>
    <r>
      <t>5.2　</t>
    </r>
    <r>
      <rPr>
        <sz val="11"/>
        <rFont val="ＭＳ Ｐゴシック"/>
        <family val="3"/>
        <charset val="128"/>
      </rPr>
      <t>グレア対策</t>
    </r>
    <rPh sb="7" eb="9">
      <t>タイサク</t>
    </rPh>
    <phoneticPr fontId="119"/>
  </si>
  <si>
    <r>
      <t>5.3　</t>
    </r>
    <r>
      <rPr>
        <sz val="11"/>
        <rFont val="ＭＳ Ｐゴシック"/>
        <family val="3"/>
        <charset val="128"/>
      </rPr>
      <t>照度</t>
    </r>
    <phoneticPr fontId="119"/>
  </si>
  <si>
    <t>5.2.1　開口部のグレア対策</t>
    <phoneticPr fontId="119"/>
  </si>
  <si>
    <t>5.2.2　照明器具のグレア対策</t>
    <phoneticPr fontId="119"/>
  </si>
  <si>
    <r>
      <t>6.2　</t>
    </r>
    <r>
      <rPr>
        <sz val="11"/>
        <rFont val="ＭＳ Ｐゴシック"/>
        <family val="3"/>
        <charset val="128"/>
      </rPr>
      <t>室温制御</t>
    </r>
    <rPh sb="6" eb="8">
      <t>セイギョ</t>
    </rPh>
    <phoneticPr fontId="119"/>
  </si>
  <si>
    <r>
      <t>6.3　</t>
    </r>
    <r>
      <rPr>
        <sz val="11"/>
        <rFont val="ＭＳ Ｐゴシック"/>
        <family val="3"/>
        <charset val="128"/>
      </rPr>
      <t>湿度制御</t>
    </r>
    <phoneticPr fontId="119"/>
  </si>
  <si>
    <r>
      <t>6.4　</t>
    </r>
    <r>
      <rPr>
        <sz val="11"/>
        <rFont val="ＭＳ Ｐゴシック"/>
        <family val="3"/>
        <charset val="128"/>
      </rPr>
      <t>換気性能</t>
    </r>
    <phoneticPr fontId="119"/>
  </si>
  <si>
    <r>
      <t>6.5　</t>
    </r>
    <r>
      <rPr>
        <sz val="11"/>
        <rFont val="ＭＳ Ｐゴシック"/>
        <family val="3"/>
        <charset val="128"/>
      </rPr>
      <t>分煙対応、禁煙対応</t>
    </r>
    <phoneticPr fontId="119"/>
  </si>
  <si>
    <t>6.2.1　室温</t>
    <phoneticPr fontId="119"/>
  </si>
  <si>
    <t>6.2.2　外皮性能</t>
    <phoneticPr fontId="23"/>
  </si>
  <si>
    <t>6.4.1　換気量</t>
    <phoneticPr fontId="119"/>
  </si>
  <si>
    <t>6.4.2　自然換気性能</t>
    <phoneticPr fontId="119"/>
  </si>
  <si>
    <r>
      <t>7.1　</t>
    </r>
    <r>
      <rPr>
        <sz val="11"/>
        <rFont val="ＭＳ Ｐゴシック"/>
        <family val="3"/>
        <charset val="128"/>
      </rPr>
      <t>維持管理に配慮した設計</t>
    </r>
    <phoneticPr fontId="119"/>
  </si>
  <si>
    <r>
      <t>7.2　</t>
    </r>
    <r>
      <rPr>
        <sz val="11"/>
        <rFont val="ＭＳ Ｐゴシック"/>
        <family val="3"/>
        <charset val="128"/>
      </rPr>
      <t>維持管理用機能の確保</t>
    </r>
    <phoneticPr fontId="119"/>
  </si>
  <si>
    <r>
      <t>7.3　</t>
    </r>
    <r>
      <rPr>
        <sz val="11"/>
        <rFont val="ＭＳ Ｐゴシック"/>
        <family val="3"/>
        <charset val="128"/>
      </rPr>
      <t>維持保全計画</t>
    </r>
    <phoneticPr fontId="119"/>
  </si>
  <si>
    <r>
      <t>7.4　</t>
    </r>
    <r>
      <rPr>
        <sz val="11"/>
        <rFont val="ＭＳ Ｐゴシック"/>
        <family val="3"/>
        <charset val="128"/>
      </rPr>
      <t>維持管理の状況</t>
    </r>
    <rPh sb="4" eb="6">
      <t>イジ</t>
    </rPh>
    <rPh sb="6" eb="8">
      <t>カンリ</t>
    </rPh>
    <rPh sb="9" eb="11">
      <t>ジョウキョウ</t>
    </rPh>
    <phoneticPr fontId="119"/>
  </si>
  <si>
    <r>
      <t>7.5　</t>
    </r>
    <r>
      <rPr>
        <sz val="11"/>
        <rFont val="ＭＳ Ｐゴシック"/>
        <family val="3"/>
        <charset val="128"/>
      </rPr>
      <t>中長期保全計画の有無と実行性</t>
    </r>
    <phoneticPr fontId="119"/>
  </si>
  <si>
    <t>7.4.1　定期調査・検査報告書</t>
    <phoneticPr fontId="119"/>
  </si>
  <si>
    <t>7.4.2　維持管理レベル</t>
    <phoneticPr fontId="119"/>
  </si>
  <si>
    <r>
      <t>8.1　</t>
    </r>
    <r>
      <rPr>
        <sz val="11"/>
        <rFont val="ＭＳ Ｐゴシック"/>
        <family val="3"/>
        <charset val="128"/>
      </rPr>
      <t>満足度調査の定期的実施等</t>
    </r>
    <phoneticPr fontId="119"/>
  </si>
  <si>
    <r>
      <t>1.2　</t>
    </r>
    <r>
      <rPr>
        <sz val="11"/>
        <rFont val="ＭＳ Ｐゴシック"/>
        <family val="3"/>
        <charset val="128"/>
      </rPr>
      <t>広さ</t>
    </r>
    <rPh sb="4" eb="5">
      <t>ヒロ</t>
    </rPh>
    <phoneticPr fontId="119"/>
  </si>
  <si>
    <r>
      <t>1.3　</t>
    </r>
    <r>
      <rPr>
        <sz val="11"/>
        <rFont val="ＭＳ Ｐゴシック"/>
        <family val="3"/>
        <charset val="128"/>
      </rPr>
      <t>給排水設備の設置自由度</t>
    </r>
    <phoneticPr fontId="119"/>
  </si>
  <si>
    <r>
      <t>2.1　</t>
    </r>
    <r>
      <rPr>
        <sz val="11"/>
        <rFont val="ＭＳ Ｐゴシック"/>
        <family val="3"/>
        <charset val="128"/>
      </rPr>
      <t>知的生産性を高めるワークプレイス</t>
    </r>
    <rPh sb="4" eb="6">
      <t>チテキ</t>
    </rPh>
    <phoneticPr fontId="119"/>
  </si>
  <si>
    <r>
      <t>2.3　</t>
    </r>
    <r>
      <rPr>
        <sz val="11"/>
        <rFont val="ＭＳ Ｐゴシック"/>
        <family val="3"/>
        <charset val="128"/>
      </rPr>
      <t>ＯＡ機器等の充実度</t>
    </r>
    <phoneticPr fontId="119"/>
  </si>
  <si>
    <r>
      <t>2.2　</t>
    </r>
    <r>
      <rPr>
        <sz val="11"/>
        <rFont val="ＭＳ Ｐゴシック"/>
        <family val="3"/>
        <charset val="128"/>
      </rPr>
      <t>オフィス什器の機能性・選択性</t>
    </r>
    <phoneticPr fontId="119"/>
  </si>
  <si>
    <r>
      <t>3.1　</t>
    </r>
    <r>
      <rPr>
        <sz val="11"/>
        <rFont val="ＭＳ Ｐゴシック"/>
        <family val="3"/>
        <charset val="128"/>
      </rPr>
      <t>移動空間</t>
    </r>
    <rPh sb="4" eb="6">
      <t>イドウ</t>
    </rPh>
    <rPh sb="6" eb="8">
      <t>クウカン</t>
    </rPh>
    <phoneticPr fontId="119"/>
  </si>
  <si>
    <r>
      <t>3.2　</t>
    </r>
    <r>
      <rPr>
        <sz val="11"/>
        <rFont val="ＭＳ Ｐゴシック"/>
        <family val="3"/>
        <charset val="128"/>
      </rPr>
      <t>コミュニケーション</t>
    </r>
    <phoneticPr fontId="119"/>
  </si>
  <si>
    <t>3.1.1　動線における出会いの場の創出</t>
    <phoneticPr fontId="23"/>
  </si>
  <si>
    <t>3.1.2　EV利用の快適性</t>
    <phoneticPr fontId="23"/>
  </si>
  <si>
    <t>3.2.1　打ち合わせスペース</t>
    <phoneticPr fontId="23"/>
  </si>
  <si>
    <t>3.2.2　食事のための空間</t>
    <phoneticPr fontId="23"/>
  </si>
  <si>
    <r>
      <t>4.1　</t>
    </r>
    <r>
      <rPr>
        <sz val="11"/>
        <rFont val="ＭＳ Ｐゴシック"/>
        <family val="3"/>
        <charset val="128"/>
      </rPr>
      <t>高度情報通信インフラ</t>
    </r>
    <phoneticPr fontId="119"/>
  </si>
  <si>
    <t>健康性サービス</t>
    <rPh sb="0" eb="3">
      <t>ケンコウセイ</t>
    </rPh>
    <phoneticPr fontId="23"/>
  </si>
  <si>
    <r>
      <t xml:space="preserve">5.1 </t>
    </r>
    <r>
      <rPr>
        <sz val="11"/>
        <rFont val="ＭＳ Ｐゴシック"/>
        <family val="3"/>
        <charset val="128"/>
      </rPr>
      <t xml:space="preserve"> メンタルヘルス対策、医療サービス</t>
    </r>
    <phoneticPr fontId="23"/>
  </si>
  <si>
    <r>
      <t xml:space="preserve">5.2  </t>
    </r>
    <r>
      <rPr>
        <sz val="11"/>
        <rFont val="ＭＳ Ｐゴシック"/>
        <family val="3"/>
        <charset val="128"/>
      </rPr>
      <t>情報共有インフラ</t>
    </r>
    <phoneticPr fontId="23"/>
  </si>
  <si>
    <r>
      <t xml:space="preserve">5.3  </t>
    </r>
    <r>
      <rPr>
        <sz val="11"/>
        <rFont val="ＭＳ Ｐゴシック"/>
        <family val="3"/>
        <charset val="128"/>
      </rPr>
      <t>健康維持・増進プログラム</t>
    </r>
    <rPh sb="7" eb="9">
      <t>イジ</t>
    </rPh>
    <phoneticPr fontId="119"/>
  </si>
  <si>
    <t>デザイン性</t>
    <rPh sb="4" eb="5">
      <t>ｾｲ</t>
    </rPh>
    <phoneticPr fontId="35" type="noConversion"/>
  </si>
  <si>
    <t>作業環境</t>
    <rPh sb="0" eb="2">
      <t>ｻｷﾞｮｳ</t>
    </rPh>
    <rPh sb="2" eb="4">
      <t>ｶﾝｷｮｳ</t>
    </rPh>
    <phoneticPr fontId="35" type="noConversion"/>
  </si>
  <si>
    <r>
      <t xml:space="preserve">Qw2 
</t>
    </r>
    <r>
      <rPr>
        <sz val="11"/>
        <rFont val="ＭＳ Ｐゴシック"/>
        <family val="3"/>
        <charset val="128"/>
      </rPr>
      <t>健康性・快適性</t>
    </r>
    <rPh sb="5" eb="8">
      <t>ケンコウセイ</t>
    </rPh>
    <rPh sb="9" eb="11">
      <t>カイテキ</t>
    </rPh>
    <rPh sb="11" eb="12">
      <t>セイ</t>
    </rPh>
    <phoneticPr fontId="23"/>
  </si>
  <si>
    <r>
      <t xml:space="preserve">Qw3 
</t>
    </r>
    <r>
      <rPr>
        <sz val="11"/>
        <rFont val="Yu Gothic"/>
        <family val="2"/>
        <charset val="128"/>
      </rPr>
      <t>知的生産性向上</t>
    </r>
    <rPh sb="5" eb="10">
      <t>チテキセイサンセイ</t>
    </rPh>
    <rPh sb="10" eb="12">
      <t>コウジョウ</t>
    </rPh>
    <phoneticPr fontId="23"/>
  </si>
  <si>
    <r>
      <t xml:space="preserve">Qw1 
</t>
    </r>
    <r>
      <rPr>
        <sz val="11"/>
        <rFont val="ＭＳ Ｐゴシック"/>
        <family val="3"/>
        <charset val="128"/>
      </rPr>
      <t>安全・安心性</t>
    </r>
    <rPh sb="5" eb="7">
      <t>アンゼン</t>
    </rPh>
    <rPh sb="8" eb="10">
      <t>アンシン</t>
    </rPh>
    <rPh sb="10" eb="11">
      <t>セイ</t>
    </rPh>
    <phoneticPr fontId="23"/>
  </si>
  <si>
    <t>内装計画</t>
    <rPh sb="0" eb="2">
      <t>ナイソウ</t>
    </rPh>
    <rPh sb="2" eb="4">
      <t>ケイカク</t>
    </rPh>
    <phoneticPr fontId="23"/>
  </si>
  <si>
    <t>1.1.2　免震・制震・制振性能（内部設備保護）</t>
    <phoneticPr fontId="23"/>
  </si>
  <si>
    <t>1.1.3　設備の信頼性</t>
    <phoneticPr fontId="23"/>
  </si>
  <si>
    <t>換気性能</t>
    <rPh sb="0" eb="2">
      <t>カンキ</t>
    </rPh>
    <rPh sb="2" eb="4">
      <t>セイノウ</t>
    </rPh>
    <phoneticPr fontId="23"/>
  </si>
  <si>
    <t>自然光の導入</t>
    <rPh sb="0" eb="3">
      <t>シゼンコウ</t>
    </rPh>
    <rPh sb="4" eb="6">
      <t>ドウニュウ</t>
    </rPh>
    <phoneticPr fontId="23"/>
  </si>
  <si>
    <t>ビル運営においてBCPを作成しているが、入居組織のBCPは把握していない。</t>
    <phoneticPr fontId="23"/>
  </si>
  <si>
    <t>ビル運営においてBCPを作成しており、入居組織のBCPも把握している。</t>
    <phoneticPr fontId="23"/>
  </si>
  <si>
    <t>ビル運営においてBCPを作成しており、入居組織のBCPも把握して、相互に連携する体制を構築している。</t>
    <phoneticPr fontId="23"/>
  </si>
  <si>
    <t>入居組織のBCPを作成しているが、それを実現する設備の一部が未整備である。</t>
    <phoneticPr fontId="23"/>
  </si>
  <si>
    <t>防犯対策の内、3～4項目を実施している</t>
    <phoneticPr fontId="23"/>
  </si>
  <si>
    <t>レベル４を満たし、ビル独自の先端的なセキュリティ設備を導入している</t>
    <phoneticPr fontId="23"/>
  </si>
  <si>
    <t>防犯対策</t>
    <rPh sb="0" eb="2">
      <t>ボウハン</t>
    </rPh>
    <rPh sb="2" eb="4">
      <t>タイサク</t>
    </rPh>
    <phoneticPr fontId="23"/>
  </si>
  <si>
    <r>
      <t>3.3.1</t>
    </r>
    <r>
      <rPr>
        <b/>
        <sz val="10"/>
        <rFont val="ＭＳ ゴシック"/>
        <family val="3"/>
        <charset val="128"/>
      </rPr>
      <t>　</t>
    </r>
    <r>
      <rPr>
        <b/>
        <sz val="10"/>
        <rFont val="ＭＳ Ｐゴシック"/>
        <family val="3"/>
        <charset val="128"/>
      </rPr>
      <t>アスべスト、</t>
    </r>
    <r>
      <rPr>
        <b/>
        <sz val="10"/>
        <rFont val="Arial"/>
        <family val="3"/>
      </rPr>
      <t>PCB</t>
    </r>
    <r>
      <rPr>
        <b/>
        <sz val="10"/>
        <rFont val="ＭＳ Ｐゴシック"/>
        <family val="3"/>
        <charset val="128"/>
      </rPr>
      <t>対応</t>
    </r>
    <phoneticPr fontId="23"/>
  </si>
  <si>
    <r>
      <t>3.3.2</t>
    </r>
    <r>
      <rPr>
        <b/>
        <sz val="10"/>
        <rFont val="ＭＳ ゴシック"/>
        <family val="3"/>
        <charset val="128"/>
      </rPr>
      <t>　土壌汚染等対応</t>
    </r>
    <phoneticPr fontId="23"/>
  </si>
  <si>
    <t>バリアフリー法の建築物移動等円滑化基準（最低限のレベル）の半分以上を満たしている。</t>
    <phoneticPr fontId="23"/>
  </si>
  <si>
    <t>バリアフリー法の建築物移動等円滑化基準（最低限のレベル）の項目を満たしている（2000㎡未満では項目の半分以上）</t>
    <phoneticPr fontId="23"/>
  </si>
  <si>
    <t>バリアフリー法の建築物移動等円滑化誘導基準（望ましいレベル）を満たし、ユニバーサルデザインに十分配慮している（2000㎡未満では円滑化基準の項目を満たしている）</t>
    <phoneticPr fontId="23"/>
  </si>
  <si>
    <t>レベル３を満たさない</t>
    <rPh sb="5" eb="6">
      <t>ミ</t>
    </rPh>
    <phoneticPr fontId="23"/>
  </si>
  <si>
    <t>1.2.1　専有部の内装計画</t>
    <phoneticPr fontId="23"/>
  </si>
  <si>
    <t>1.2.2　共用部の内装計画</t>
    <rPh sb="6" eb="8">
      <t>キョウヨウ</t>
    </rPh>
    <rPh sb="8" eb="9">
      <t>ブ</t>
    </rPh>
    <rPh sb="10" eb="12">
      <t>ナイソウ</t>
    </rPh>
    <rPh sb="12" eb="14">
      <t>ケイカク</t>
    </rPh>
    <phoneticPr fontId="119"/>
  </si>
  <si>
    <t>共用部のデザイン性が高い</t>
    <phoneticPr fontId="23"/>
  </si>
  <si>
    <t>共用部の内装デザインがウェルネス性や生産性向上に配慮して計画されている</t>
    <phoneticPr fontId="23"/>
  </si>
  <si>
    <t>共用部にリラックス・リフレッシュ空間があり、その用途に応じた内装が実現されている</t>
    <phoneticPr fontId="23"/>
  </si>
  <si>
    <t>注）レベル５は直接入力によりレベルを選択してください。</t>
    <rPh sb="2" eb="4">
      <t>チョクセツ</t>
    </rPh>
    <rPh sb="4" eb="6">
      <t>ニュウリョク</t>
    </rPh>
    <rPh sb="13" eb="15">
      <t>センタク</t>
    </rPh>
    <phoneticPr fontId="23"/>
  </si>
  <si>
    <t>運動を支援する機能がない</t>
    <phoneticPr fontId="23"/>
  </si>
  <si>
    <t>敷地内にジム機能を有する施設やスポーツ施設がある。</t>
    <phoneticPr fontId="23"/>
  </si>
  <si>
    <t>5.2.1　開口部のグレア対策</t>
    <phoneticPr fontId="23"/>
  </si>
  <si>
    <t>5.2.2　照明器具のグレア対策</t>
    <phoneticPr fontId="23"/>
  </si>
  <si>
    <t>全般照明方式の場合で、机上面照度が300 lx 未満</t>
    <phoneticPr fontId="23"/>
  </si>
  <si>
    <t>全般照明方式の場合で、300lx≦[机上面照度] ＜500lx、または1000lx≦[机上面照度]</t>
    <phoneticPr fontId="23"/>
  </si>
  <si>
    <t>タスク・アンビエント照明方式もしくはこれに準ずる照明方式の場合で、タスク照度が500lx以上1000lx未満、かつアンビエント照度がタスク照度の1/3以上2/3未満。</t>
    <phoneticPr fontId="23"/>
  </si>
  <si>
    <t>6.2.1　室温</t>
    <phoneticPr fontId="23"/>
  </si>
  <si>
    <t>レベル４を満たし、評価する取組みのいずれかが該当する。</t>
    <phoneticPr fontId="23"/>
  </si>
  <si>
    <t>採否</t>
    <rPh sb="0" eb="2">
      <t>サイヒ</t>
    </rPh>
    <phoneticPr fontId="23"/>
  </si>
  <si>
    <t>置換換気を採用している</t>
  </si>
  <si>
    <t>換気効率を高める設計をしており、実測、実大実験やCFD解析による検証を通し、一般的な設計より換気効率が向上している</t>
  </si>
  <si>
    <t>空調システムに中性能フィルタもしくはHEPAフィルタが組み込まれている</t>
  </si>
  <si>
    <t>6.4.1　換気量</t>
    <phoneticPr fontId="23"/>
  </si>
  <si>
    <t>6.4.2　自然換気性能</t>
    <phoneticPr fontId="23"/>
  </si>
  <si>
    <t>設備設計：建物エントランス部にウィルスや花粉などを持ち込ませないための設備等を設置している。</t>
    <phoneticPr fontId="23"/>
  </si>
  <si>
    <t>建築設計：風除室の１次扉と２次扉が同時に開かないように距離を確保し、または土砂などの進入を防ぐ設計をしている。</t>
    <rPh sb="0" eb="2">
      <t>ケンチク</t>
    </rPh>
    <phoneticPr fontId="23"/>
  </si>
  <si>
    <t>7.4.1　定期調査・検査報告書</t>
    <phoneticPr fontId="23"/>
  </si>
  <si>
    <t>7.4.2　維持管理レベル（建築物衛生法への適合）</t>
    <phoneticPr fontId="23"/>
  </si>
  <si>
    <t>レベル４に加え、ワーカーの知的生産性向上への寄与が確認できている。</t>
    <phoneticPr fontId="119"/>
  </si>
  <si>
    <t>オフィス什器の機能性・選択性</t>
    <phoneticPr fontId="119"/>
  </si>
  <si>
    <t>ＯＡ機器等の充実度</t>
    <phoneticPr fontId="119"/>
  </si>
  <si>
    <t>評価する取組みが2つ</t>
    <phoneticPr fontId="119"/>
  </si>
  <si>
    <t>評価する取組みが3つ</t>
    <phoneticPr fontId="119"/>
  </si>
  <si>
    <t>評価する取組みが4つ以上</t>
    <phoneticPr fontId="119"/>
  </si>
  <si>
    <t>3.1.1  動線における出会いの場の創出</t>
    <phoneticPr fontId="119"/>
  </si>
  <si>
    <t>移動空間</t>
    <phoneticPr fontId="119"/>
  </si>
  <si>
    <t>3.1.2  EV利用の快適性</t>
    <phoneticPr fontId="119"/>
  </si>
  <si>
    <t>コミュニケーション</t>
    <phoneticPr fontId="23"/>
  </si>
  <si>
    <t>3.2.1  打ち合わせスペース</t>
    <phoneticPr fontId="119"/>
  </si>
  <si>
    <t>3.2.2  食事のための空間</t>
    <phoneticPr fontId="119"/>
  </si>
  <si>
    <t>取組みが行われていない。</t>
    <rPh sb="0" eb="2">
      <t>トリクミ</t>
    </rPh>
    <phoneticPr fontId="119"/>
  </si>
  <si>
    <t>評価する取組み（情報共有を促進する取組み）</t>
    <rPh sb="0" eb="2">
      <t>ヒョウカ</t>
    </rPh>
    <rPh sb="4" eb="6">
      <t>トリクミ</t>
    </rPh>
    <phoneticPr fontId="23"/>
  </si>
  <si>
    <t>健康を維持・増進するプログラムがない</t>
    <phoneticPr fontId="23"/>
  </si>
  <si>
    <t>健康を維持・増進するプログラムが1つある。</t>
    <phoneticPr fontId="23"/>
  </si>
  <si>
    <t>健康を維持・増進するプログラムが2つある。</t>
    <phoneticPr fontId="23"/>
  </si>
  <si>
    <t>健康を維持・増進するプログラムが3つある。</t>
    <phoneticPr fontId="23"/>
  </si>
  <si>
    <t>健康を維持・増進するプログラムが4つ以上ある。</t>
    <phoneticPr fontId="23"/>
  </si>
  <si>
    <t>健康を維持・増進するプログラムが1つ以下である</t>
    <phoneticPr fontId="23"/>
  </si>
  <si>
    <t>健康を維持・増進するプログラム</t>
    <phoneticPr fontId="23"/>
  </si>
  <si>
    <t>NO.</t>
    <phoneticPr fontId="23"/>
  </si>
  <si>
    <t>（1）ビル側の取組み</t>
  </si>
  <si>
    <t>―</t>
    <phoneticPr fontId="23"/>
  </si>
  <si>
    <t>1階建ての場合は対象外とする。</t>
    <phoneticPr fontId="23"/>
  </si>
  <si>
    <t>建物全体の床面積の合計が500㎡以下の場合には、一律レベル３とする。
注）500㎡未満の建物は直接入力により、レベル３を選択してください。</t>
    <phoneticPr fontId="23"/>
  </si>
  <si>
    <t>土壌汚染対策法に基づく区域指定にない場合は、対象外。
いずれの採点基準にも適合しない場合、対象外。</t>
    <phoneticPr fontId="23"/>
  </si>
  <si>
    <t>反射板形状の工夫、ルーバー・透光性カバーなどにより、十分にグレアを制限している器具。G1、G0、V 分類の器具。</t>
    <phoneticPr fontId="23"/>
  </si>
  <si>
    <t>全般照明方式の場合で、500lx≦[机上面照度] ＜1000lx。
タスク・アンビエント照明方式もしくはこれに準ずる照明方式の場合で、レベル４を満たさない</t>
    <rPh sb="72" eb="73">
      <t>ミ</t>
    </rPh>
    <phoneticPr fontId="23"/>
  </si>
  <si>
    <r>
      <t>加湿機能を有し、冬期に40％</t>
    </r>
    <r>
      <rPr>
        <vertAlign val="superscript"/>
        <sz val="9"/>
        <rFont val="ＭＳ Ｐゴシック"/>
        <family val="3"/>
        <charset val="128"/>
      </rPr>
      <t>注１）</t>
    </r>
    <r>
      <rPr>
        <sz val="9"/>
        <rFont val="ＭＳ Ｐゴシック"/>
        <family val="3"/>
        <charset val="128"/>
      </rPr>
      <t>の湿度を実現できる。</t>
    </r>
    <phoneticPr fontId="23"/>
  </si>
  <si>
    <r>
      <t>レベル3に加え、除湿機能を有す。</t>
    </r>
    <r>
      <rPr>
        <vertAlign val="superscript"/>
        <sz val="9"/>
        <color rgb="FF000000"/>
        <rFont val="ＭＳ Ｐゴシック"/>
        <family val="3"/>
        <charset val="128"/>
      </rPr>
      <t>注２）</t>
    </r>
    <phoneticPr fontId="23"/>
  </si>
  <si>
    <r>
      <t>加湿機能・除湿機能を有し、年間を通し45～55％</t>
    </r>
    <r>
      <rPr>
        <vertAlign val="superscript"/>
        <sz val="9"/>
        <rFont val="ＭＳ Ｐゴシック"/>
        <family val="3"/>
        <charset val="128"/>
      </rPr>
      <t>注３）</t>
    </r>
    <r>
      <rPr>
        <sz val="9"/>
        <rFont val="ＭＳ Ｐゴシック"/>
        <family val="3"/>
        <charset val="128"/>
      </rPr>
      <t>の範囲の湿度を実現することが可能な設備容量が確保されている。</t>
    </r>
    <phoneticPr fontId="23"/>
  </si>
  <si>
    <t>設計段階の場合は、調査主体における調査計画の有無について評価を行う。</t>
    <phoneticPr fontId="23"/>
  </si>
  <si>
    <t>平成１８年９月１日以降の着工物件は対象外。アスベスト含有建材等の不使用／除去済、PCB含有機器類の不使用の場合に対象外。</t>
    <rPh sb="17" eb="20">
      <t>タイショウガイ</t>
    </rPh>
    <phoneticPr fontId="23"/>
  </si>
  <si>
    <t>建物エントランス部に消毒液、除菌液等を設置し利用者に提供している。</t>
    <phoneticPr fontId="23"/>
  </si>
  <si>
    <t>注）採点表からレベルを上げる場合は、直接入力によりレベルを選択してください。</t>
    <rPh sb="2" eb="4">
      <t>サイテン</t>
    </rPh>
    <rPh sb="4" eb="5">
      <t>ヒョウ</t>
    </rPh>
    <rPh sb="11" eb="12">
      <t>ア</t>
    </rPh>
    <rPh sb="14" eb="16">
      <t>バアイ</t>
    </rPh>
    <rPh sb="18" eb="20">
      <t>チョクセツ</t>
    </rPh>
    <rPh sb="20" eb="22">
      <t>ニュウリョク</t>
    </rPh>
    <rPh sb="29" eb="31">
      <t>センタク</t>
    </rPh>
    <phoneticPr fontId="23"/>
  </si>
  <si>
    <t>設計段階では、採点対象となる取組みへの計画内容について評価する。</t>
    <phoneticPr fontId="23"/>
  </si>
  <si>
    <t>Qw3 知的生産性向上</t>
    <rPh sb="4" eb="9">
      <t>ﾁﾃｷｾｲｻﾝｾｲ</t>
    </rPh>
    <rPh sb="9" eb="11">
      <t>ｺｳｼﾞｮｳ</t>
    </rPh>
    <phoneticPr fontId="35" type="noConversion"/>
  </si>
  <si>
    <t>重要度</t>
    <rPh sb="0" eb="3">
      <t>ジュウヨウド</t>
    </rPh>
    <phoneticPr fontId="23"/>
  </si>
  <si>
    <t>全体</t>
    <rPh sb="0" eb="2">
      <t>ゼンタイ</t>
    </rPh>
    <phoneticPr fontId="23"/>
  </si>
  <si>
    <t>総合評価</t>
    <rPh sb="0" eb="4">
      <t>ソウゴウヒョウカ</t>
    </rPh>
    <phoneticPr fontId="23"/>
  </si>
  <si>
    <t>感染対策性能評価</t>
    <rPh sb="0" eb="4">
      <t>カンセンタイサク</t>
    </rPh>
    <rPh sb="4" eb="6">
      <t>セイノウ</t>
    </rPh>
    <rPh sb="6" eb="8">
      <t>ヒョウカ</t>
    </rPh>
    <phoneticPr fontId="23"/>
  </si>
  <si>
    <r>
      <rPr>
        <sz val="11"/>
        <rFont val="ＭＳ Ｐゴシック"/>
        <family val="3"/>
        <charset val="128"/>
      </rPr>
      <t>◎</t>
    </r>
    <phoneticPr fontId="23"/>
  </si>
  <si>
    <r>
      <rPr>
        <sz val="11"/>
        <color theme="1"/>
        <rFont val="ＭＳ Ｐゴシック"/>
        <family val="2"/>
        <charset val="128"/>
      </rPr>
      <t>◎</t>
    </r>
    <phoneticPr fontId="23"/>
  </si>
  <si>
    <t>抽出項目</t>
    <rPh sb="0" eb="2">
      <t>チュウシュツ</t>
    </rPh>
    <rPh sb="2" eb="4">
      <t>コウモク</t>
    </rPh>
    <phoneticPr fontId="23"/>
  </si>
  <si>
    <t>参考</t>
    <rPh sb="0" eb="2">
      <t>サンコウ</t>
    </rPh>
    <phoneticPr fontId="23"/>
  </si>
  <si>
    <t>建築・設備</t>
    <rPh sb="0" eb="2">
      <t>ケンチク</t>
    </rPh>
    <rPh sb="3" eb="5">
      <t>セツビ</t>
    </rPh>
    <phoneticPr fontId="23"/>
  </si>
  <si>
    <t>維持管理</t>
    <rPh sb="0" eb="4">
      <t>イジカンリ</t>
    </rPh>
    <phoneticPr fontId="23"/>
  </si>
  <si>
    <t>ﾌﾟﾛｸﾞﾗﾑ</t>
    <phoneticPr fontId="23"/>
  </si>
  <si>
    <r>
      <t>2-1</t>
    </r>
    <r>
      <rPr>
        <b/>
        <sz val="12"/>
        <color indexed="9"/>
        <rFont val="ＭＳ Ｐゴシック"/>
        <family val="3"/>
        <charset val="128"/>
      </rPr>
      <t>　感染対策の総合評価</t>
    </r>
    <rPh sb="4" eb="6">
      <t>ｶﾝｾﾝ</t>
    </rPh>
    <rPh sb="6" eb="8">
      <t>ﾀｲｻｸ</t>
    </rPh>
    <rPh sb="9" eb="11">
      <t>そうごう</t>
    </rPh>
    <rPh sb="11" eb="13">
      <t>ひょうか</t>
    </rPh>
    <phoneticPr fontId="35" type="noConversion"/>
  </si>
  <si>
    <r>
      <t>2-2</t>
    </r>
    <r>
      <rPr>
        <b/>
        <sz val="12"/>
        <color indexed="9"/>
        <rFont val="ＭＳ Ｐゴシック"/>
        <family val="3"/>
        <charset val="128"/>
      </rPr>
      <t>　感染対策の評価（ﾚｰﾀﾞｰﾁｬｰﾄ）</t>
    </r>
    <rPh sb="4" eb="8">
      <t>カンセンタイサク</t>
    </rPh>
    <rPh sb="9" eb="11">
      <t>ヒョウカ</t>
    </rPh>
    <phoneticPr fontId="23"/>
  </si>
  <si>
    <r>
      <t>S</t>
    </r>
    <r>
      <rPr>
        <sz val="11"/>
        <rFont val="ＭＳ Ｐゴシック"/>
        <family val="3"/>
        <charset val="128"/>
      </rPr>
      <t>　ランク；</t>
    </r>
    <r>
      <rPr>
        <sz val="14"/>
        <color theme="5"/>
        <rFont val="Segoe UI Symbol"/>
        <family val="3"/>
      </rPr>
      <t>★★★★★</t>
    </r>
    <phoneticPr fontId="23"/>
  </si>
  <si>
    <r>
      <t>A</t>
    </r>
    <r>
      <rPr>
        <sz val="11"/>
        <rFont val="ＭＳ Ｐゴシック"/>
        <family val="3"/>
        <charset val="128"/>
      </rPr>
      <t>　ランク；</t>
    </r>
    <r>
      <rPr>
        <sz val="14"/>
        <color theme="5"/>
        <rFont val="Segoe UI Symbol"/>
        <family val="3"/>
      </rPr>
      <t>★★★★</t>
    </r>
    <phoneticPr fontId="23"/>
  </si>
  <si>
    <r>
      <t>B+</t>
    </r>
    <r>
      <rPr>
        <sz val="11"/>
        <rFont val="ＭＳ Ｐゴシック"/>
        <family val="3"/>
        <charset val="128"/>
      </rPr>
      <t>ランク；</t>
    </r>
    <r>
      <rPr>
        <sz val="14"/>
        <color theme="5"/>
        <rFont val="Segoe UI Symbol"/>
        <family val="3"/>
      </rPr>
      <t>★★★</t>
    </r>
    <phoneticPr fontId="23"/>
  </si>
  <si>
    <r>
      <t>B-</t>
    </r>
    <r>
      <rPr>
        <sz val="11"/>
        <rFont val="ＭＳ Ｐゴシック"/>
        <family val="3"/>
        <charset val="128"/>
      </rPr>
      <t>ランク；</t>
    </r>
    <r>
      <rPr>
        <sz val="14"/>
        <color theme="5"/>
        <rFont val="Segoe UI Symbol"/>
        <family val="3"/>
      </rPr>
      <t>★★</t>
    </r>
    <phoneticPr fontId="23"/>
  </si>
  <si>
    <r>
      <t>C</t>
    </r>
    <r>
      <rPr>
        <sz val="11"/>
        <rFont val="ＭＳ Ｐゴシック"/>
        <family val="3"/>
        <charset val="128"/>
      </rPr>
      <t>　ランク；</t>
    </r>
    <r>
      <rPr>
        <sz val="14"/>
        <color theme="5"/>
        <rFont val="Segoe UI Symbol"/>
        <family val="3"/>
      </rPr>
      <t>★</t>
    </r>
    <phoneticPr fontId="23"/>
  </si>
  <si>
    <r>
      <t>レベル４を満たし、且つ外部との繋がりを最適に制御可能な仕様となっている。（自動制御ブラインド等</t>
    </r>
    <r>
      <rPr>
        <vertAlign val="superscript"/>
        <sz val="9"/>
        <rFont val="ＭＳ Ｐゴシック"/>
        <family val="3"/>
        <charset val="128"/>
      </rPr>
      <t>注１</t>
    </r>
    <r>
      <rPr>
        <sz val="9"/>
        <rFont val="ＭＳ Ｐゴシック"/>
        <family val="3"/>
        <charset val="128"/>
      </rPr>
      <t>）の設置）</t>
    </r>
    <phoneticPr fontId="23"/>
  </si>
  <si>
    <t>設備の信頼性に対して、評価する取組みがない。（評価ポイント0）</t>
  </si>
  <si>
    <t>設備の信頼性に対して、取組みが十分とはいえない。（評価ポイント1）</t>
  </si>
  <si>
    <t>設備の信頼性に対して、標準的な配慮が行われている。（評価ポイント2）</t>
  </si>
  <si>
    <t>設備の信頼性に対して、標準以上の配慮が行われている。（評価ポイント3）</t>
  </si>
  <si>
    <t>設備の信頼性に対して、充実した取組みが行われている。（評価ポイント4）</t>
  </si>
  <si>
    <t>設備の信頼性に対して、標準的な配慮が行われている。（評価ポイント1）</t>
  </si>
  <si>
    <t>設備の信頼性に対して、標準以上の配慮が行われている。（評価ポイント2）</t>
  </si>
  <si>
    <t>設備の信頼性に対して、充実した取組みが行われている。（評価ポイント3）</t>
  </si>
  <si>
    <t>法令水準程度の非常用発電設備がある。</t>
  </si>
  <si>
    <t>法令水準以上の非常用発電設備があり、建物の基幹機能や共用部だけでなく専有部に対しても一部の電力供給が可能である。</t>
  </si>
  <si>
    <t>建物 の外観デザインに対して、取組みがない。（評価ポイント0）</t>
    <phoneticPr fontId="23"/>
  </si>
  <si>
    <t>空調方式および個別制御性</t>
    <phoneticPr fontId="23"/>
  </si>
  <si>
    <t>空調方式および個別制御性に対して、取組みがない。（評価ポイント0）</t>
    <phoneticPr fontId="23"/>
  </si>
  <si>
    <t>空調方式および個別制御性に対して、取組みが十分とはいえない。（評価ポイント1）</t>
    <phoneticPr fontId="23"/>
  </si>
  <si>
    <t>空調方式および個別制御性に対して、標準的な配慮が行われている。（評価ポイント2）</t>
    <phoneticPr fontId="23"/>
  </si>
  <si>
    <t>空調方式および個別制御性に対して、標準以上の配慮が行われている。（評価ポイント3）</t>
    <phoneticPr fontId="23"/>
  </si>
  <si>
    <t>レベル２を満たし、煙の建物内への流入防止および非喫煙者を煙にさらさない対策が取られている</t>
    <phoneticPr fontId="23"/>
  </si>
  <si>
    <t>維持管理に配慮した設計において、取組みが十分でない。
（評価する取組みにおいて該当する項目数が0～1）</t>
    <phoneticPr fontId="23"/>
  </si>
  <si>
    <t>空調設備および照明設備が、レイアウト変更に対応した区画に分けて運用できない。</t>
    <phoneticPr fontId="23"/>
  </si>
  <si>
    <t>空調設備および照明設備が、レイアウト変更に対応した区画に分けて運用できる。</t>
    <phoneticPr fontId="23"/>
  </si>
  <si>
    <t>6.1　空調方式および個別制御性</t>
  </si>
  <si>
    <t>Qw2 - 6.1　空調方式および個別制御性</t>
  </si>
  <si>
    <t>消防計画を作成し、法令および消防計画に基づく消防訓練を行っている。</t>
  </si>
  <si>
    <t>消防計画を作成し、法令および消防計画に基づく消防訓練を行っている。また、訓練への参加人数を増加させるための取組みを行っている。</t>
  </si>
  <si>
    <t>運更衣および用具収納等の運動を支援する装備がある</t>
  </si>
  <si>
    <t>空調方式および個別制御性に対して、充実した取組みが行われている。（評価ポイント4以上）</t>
  </si>
  <si>
    <t>※レベル3およびレベル5は、窓・外壁仕様共に採点基準の数値水準を下回っていることを求める。
※窓・外壁仕様のいずれかのみ上位レベルを満たしている場合には、中間的な点数（レベル２もしくは４）とする。</t>
  </si>
  <si>
    <t>災害情報を確認していない。または、リスクの合計数が５種以上ある</t>
  </si>
  <si>
    <t>リスクの合計数が４種以下で、特段の防災対策を行っていない</t>
  </si>
  <si>
    <t>リスクの合計数が３～４種だが、有効な防災対策を実施している</t>
  </si>
  <si>
    <t>リスクの合計数が２種で、有効な防災対策を実施している</t>
  </si>
  <si>
    <t>リスクの合計数が０、または１種のみで、有効な防災対策を実施している</t>
  </si>
  <si>
    <r>
      <t>1.3　</t>
    </r>
    <r>
      <rPr>
        <sz val="11"/>
        <rFont val="ＭＳ Ｐゴシック"/>
        <family val="3"/>
        <charset val="128"/>
      </rPr>
      <t>BCPの有無</t>
    </r>
    <phoneticPr fontId="119"/>
  </si>
  <si>
    <r>
      <t>1.4　</t>
    </r>
    <r>
      <rPr>
        <sz val="11"/>
        <rFont val="ＭＳ Ｐゴシック"/>
        <family val="3"/>
        <charset val="128"/>
      </rPr>
      <t>消防訓練の実施</t>
    </r>
    <phoneticPr fontId="119"/>
  </si>
  <si>
    <t>自然災害リスク対策</t>
    <phoneticPr fontId="23"/>
  </si>
  <si>
    <t>基本性能 Qw3</t>
    <rPh sb="0" eb="4">
      <t>キホンセイノウ</t>
    </rPh>
    <phoneticPr fontId="157"/>
  </si>
  <si>
    <t>-</t>
    <phoneticPr fontId="157"/>
  </si>
  <si>
    <t>基本性能 Qw2</t>
    <rPh sb="0" eb="4">
      <t>キホンセイノウ</t>
    </rPh>
    <phoneticPr fontId="157"/>
  </si>
  <si>
    <t>基本性能 Qw1</t>
    <rPh sb="0" eb="4">
      <t>キホンセイノウ</t>
    </rPh>
    <phoneticPr fontId="157"/>
  </si>
  <si>
    <t xml:space="preserve">Qw5 プログラム </t>
    <phoneticPr fontId="157"/>
  </si>
  <si>
    <t>旧項目</t>
    <rPh sb="0" eb="3">
      <t>キュウコウモク</t>
    </rPh>
    <phoneticPr fontId="23"/>
  </si>
  <si>
    <t>Qw4 運営管理</t>
    <rPh sb="4" eb="6">
      <t>ウンエイ</t>
    </rPh>
    <rPh sb="6" eb="8">
      <t>カンリ</t>
    </rPh>
    <phoneticPr fontId="157"/>
  </si>
  <si>
    <t xml:space="preserve">     知的生産性の視点に基づいた評価</t>
    <phoneticPr fontId="23"/>
  </si>
  <si>
    <t>　旧区分に基づく項目別評価</t>
    <rPh sb="1" eb="4">
      <t>キュウクブン</t>
    </rPh>
    <rPh sb="5" eb="6">
      <t>モト</t>
    </rPh>
    <rPh sb="8" eb="10">
      <t>コウモク</t>
    </rPh>
    <rPh sb="10" eb="11">
      <t>ベツ</t>
    </rPh>
    <rPh sb="11" eb="13">
      <t>ヒョウカ</t>
    </rPh>
    <phoneticPr fontId="23"/>
  </si>
  <si>
    <t>■エレベータ台数</t>
    <rPh sb="6" eb="8">
      <t>ダイスウ</t>
    </rPh>
    <phoneticPr fontId="23"/>
  </si>
  <si>
    <t>① 飛沫感染対策として有効に働く項目</t>
  </si>
  <si>
    <t>Qw3 - 1.1.1　空間の形状・自由さ</t>
  </si>
  <si>
    <t>Qw3 - 1.2　広さ</t>
  </si>
  <si>
    <t>Qw3 - 2.3　ＯＡ機器等の充実度</t>
  </si>
  <si>
    <t>Qw3 - 4.1　高度情報通信インフラ</t>
  </si>
  <si>
    <t>Qw3 - 5.3  健康維持・増進プログラム</t>
  </si>
  <si>
    <t>② 空気感染対策として有効に働く項目</t>
  </si>
  <si>
    <t>Qw2 - 6.4.1　換気量</t>
  </si>
  <si>
    <t>Qw2 - 6.4.2　自然換気性能</t>
  </si>
  <si>
    <t>Qw2 - 7.2　維持管理用機能の確保</t>
  </si>
  <si>
    <t>Qw2 - 7.3　維持保全計画</t>
  </si>
  <si>
    <t>Qw2 - 7.4.1　定期調査・検査報告書</t>
  </si>
  <si>
    <t>Qw2 - 7.4.2　維持管理レベル</t>
  </si>
  <si>
    <t>③ その他、感染症流行時に有効に働く項目</t>
  </si>
  <si>
    <t>Qw3 - 1.1.3　設備機器の区画別運用の可変性</t>
  </si>
  <si>
    <t>Qw3 - 5.2  情報共有インフラ</t>
  </si>
  <si>
    <r>
      <t>3.3　</t>
    </r>
    <r>
      <rPr>
        <sz val="11"/>
        <rFont val="ＭＳ Ｐゴシック"/>
        <family val="3"/>
        <charset val="128"/>
      </rPr>
      <t>有害物質の
       既存不適格対応</t>
    </r>
    <phoneticPr fontId="119"/>
  </si>
  <si>
    <r>
      <t>2-3</t>
    </r>
    <r>
      <rPr>
        <b/>
        <sz val="12"/>
        <color indexed="9"/>
        <rFont val="ＭＳ Ｐゴシック"/>
        <family val="3"/>
        <charset val="128"/>
      </rPr>
      <t>　各項目の評価（バーチャート）</t>
    </r>
    <rPh sb="4" eb="5">
      <t>カク</t>
    </rPh>
    <phoneticPr fontId="23"/>
  </si>
  <si>
    <t>①飛沫感染</t>
    <rPh sb="1" eb="3">
      <t>ヒマツ</t>
    </rPh>
    <rPh sb="3" eb="5">
      <t>カンセン</t>
    </rPh>
    <phoneticPr fontId="23"/>
  </si>
  <si>
    <t>②空気感染</t>
    <rPh sb="1" eb="3">
      <t>クウキ</t>
    </rPh>
    <rPh sb="3" eb="5">
      <t>カンセン</t>
    </rPh>
    <phoneticPr fontId="23"/>
  </si>
  <si>
    <t>③その他</t>
    <rPh sb="3" eb="4">
      <t>ホカ</t>
    </rPh>
    <phoneticPr fontId="23"/>
  </si>
  <si>
    <t>空間の形状・自由さ</t>
    <phoneticPr fontId="23"/>
  </si>
  <si>
    <t>ＯＡ機器等の充実度</t>
    <phoneticPr fontId="23"/>
  </si>
  <si>
    <t>健康維持・増進プログラム</t>
    <phoneticPr fontId="23"/>
  </si>
  <si>
    <t>換気量</t>
    <phoneticPr fontId="23"/>
  </si>
  <si>
    <t>自然換気性能</t>
    <phoneticPr fontId="23"/>
  </si>
  <si>
    <t>定期調査・検査報告書</t>
    <phoneticPr fontId="23"/>
  </si>
  <si>
    <t>維持管理レベル</t>
    <phoneticPr fontId="23"/>
  </si>
  <si>
    <t>設備機器の区画別運用の可変性</t>
    <phoneticPr fontId="23"/>
  </si>
  <si>
    <r>
      <t>窓システム、外壁が共に、室内への熱の侵入に対しての配慮がなされており、実用上、日射遮蔽性能および断熱性能に問題がない。
（窓仕様：平均日射熱取得率0.45程度、且つ平均熱貫流率[W/m</t>
    </r>
    <r>
      <rPr>
        <vertAlign val="superscript"/>
        <sz val="9"/>
        <rFont val="ＭＳ Ｐゴシック"/>
        <family val="3"/>
        <charset val="128"/>
      </rPr>
      <t>2</t>
    </r>
    <r>
      <rPr>
        <sz val="9"/>
        <rFont val="ＭＳ Ｐゴシック"/>
        <family val="3"/>
        <charset val="128"/>
      </rPr>
      <t>K] 4.0程度、外壁仕様：平均熱貫流率[W/m</t>
    </r>
    <r>
      <rPr>
        <vertAlign val="superscript"/>
        <sz val="9"/>
        <rFont val="ＭＳ Ｐゴシック"/>
        <family val="3"/>
        <charset val="128"/>
      </rPr>
      <t>2</t>
    </r>
    <r>
      <rPr>
        <sz val="9"/>
        <rFont val="ＭＳ Ｐゴシック"/>
        <family val="3"/>
        <charset val="128"/>
      </rPr>
      <t>K] 2.0程度 ）</t>
    </r>
    <phoneticPr fontId="23"/>
  </si>
  <si>
    <r>
      <t>窓システム、外壁が共に、室内への熱の侵入に対して、十分な配慮がなされており、最良の日射遮蔽性能および断熱性能を有する。
（窓仕様：平均日射熱取得率0.20程度、且つ平均熱貫流率[W/m</t>
    </r>
    <r>
      <rPr>
        <vertAlign val="superscript"/>
        <sz val="9"/>
        <rFont val="ＭＳ Ｐゴシック"/>
        <family val="3"/>
        <charset val="128"/>
      </rPr>
      <t>2</t>
    </r>
    <r>
      <rPr>
        <sz val="9"/>
        <rFont val="ＭＳ Ｐゴシック"/>
        <family val="3"/>
        <charset val="128"/>
      </rPr>
      <t>K ] 3.0程度、外壁仕様：平均熱貫流率[W/m</t>
    </r>
    <r>
      <rPr>
        <vertAlign val="superscript"/>
        <sz val="9"/>
        <rFont val="ＭＳ Ｐゴシック"/>
        <family val="3"/>
        <charset val="128"/>
      </rPr>
      <t>2</t>
    </r>
    <r>
      <rPr>
        <sz val="9"/>
        <rFont val="ＭＳ Ｐゴシック"/>
        <family val="3"/>
        <charset val="128"/>
      </rPr>
      <t>K] 1.0程度）</t>
    </r>
    <phoneticPr fontId="23"/>
  </si>
  <si>
    <r>
      <t>中央管理方式の空気調和設備が設置されている居室の場合は25m</t>
    </r>
    <r>
      <rPr>
        <vertAlign val="superscript"/>
        <sz val="9"/>
        <rFont val="ＭＳ Ｐゴシック"/>
        <family val="3"/>
        <charset val="128"/>
      </rPr>
      <t>3</t>
    </r>
    <r>
      <rPr>
        <sz val="9"/>
        <rFont val="ＭＳ Ｐゴシック"/>
        <family val="3"/>
        <charset val="128"/>
      </rPr>
      <t>/h人以上。中央管理方式でない場合は建築基準法（シックハウス対応含む）および建築物衛生法を満たす換気量となっている。</t>
    </r>
    <phoneticPr fontId="23"/>
  </si>
  <si>
    <r>
      <t>中央管理方式の空気調和設備が設置されている居室の場合は30m</t>
    </r>
    <r>
      <rPr>
        <vertAlign val="superscript"/>
        <sz val="9"/>
        <rFont val="ＭＳ Ｐゴシック"/>
        <family val="3"/>
        <charset val="128"/>
      </rPr>
      <t>3</t>
    </r>
    <r>
      <rPr>
        <sz val="9"/>
        <rFont val="ＭＳ Ｐゴシック"/>
        <family val="3"/>
        <charset val="128"/>
      </rPr>
      <t>/h人以上。中央管理方式でない場合は建築基準法（シックハウス対応含む）および建築物衛生法を満たす換気量の1.2倍となっている。</t>
    </r>
    <phoneticPr fontId="23"/>
  </si>
  <si>
    <r>
      <t>1人当たりの執務スペース</t>
    </r>
    <r>
      <rPr>
        <vertAlign val="superscript"/>
        <sz val="9"/>
        <rFont val="ＭＳ Ｐゴシック"/>
        <family val="3"/>
        <charset val="128"/>
      </rPr>
      <t>注）</t>
    </r>
    <r>
      <rPr>
        <sz val="9"/>
        <rFont val="ＭＳ Ｐゴシック"/>
        <family val="3"/>
        <charset val="128"/>
      </rPr>
      <t>が6㎡以上。</t>
    </r>
    <phoneticPr fontId="23"/>
  </si>
  <si>
    <r>
      <t>1人当たりの執務スペース</t>
    </r>
    <r>
      <rPr>
        <vertAlign val="superscript"/>
        <sz val="9"/>
        <rFont val="ＭＳ Ｐゴシック"/>
        <family val="3"/>
        <charset val="128"/>
      </rPr>
      <t>注）</t>
    </r>
    <r>
      <rPr>
        <sz val="9"/>
        <rFont val="ＭＳ Ｐゴシック"/>
        <family val="3"/>
        <charset val="128"/>
      </rPr>
      <t>が9㎡以上。</t>
    </r>
    <phoneticPr fontId="23"/>
  </si>
  <si>
    <t>注）執務スペースとは、オフィス有効面積の内、食堂、医務室、会議室、応接室、個室形式の役員室、書庫室、リフレッシュスペース（1.2.2参照）等の共用スペースを除く、一般ワーカーの日常の執務のために割り当てられた床面積をいう。したがって、この執務スペースには、ミーティングスペース（日常打ち合わせを行うためのスペース）、ＯＡ機器スペース（サーバールームは含まない）、管理職スペース、通路スペース等が含まれる。</t>
    <rPh sb="175" eb="176">
      <t>フク</t>
    </rPh>
    <phoneticPr fontId="23"/>
  </si>
  <si>
    <t>　業務範囲別評価</t>
    <rPh sb="1" eb="3">
      <t>ギョウム</t>
    </rPh>
    <rPh sb="3" eb="5">
      <t>ハンイ</t>
    </rPh>
    <rPh sb="5" eb="6">
      <t>ベツ</t>
    </rPh>
    <rPh sb="6" eb="8">
      <t>ヒョウカ</t>
    </rPh>
    <phoneticPr fontId="23"/>
  </si>
  <si>
    <t>プログラム</t>
    <phoneticPr fontId="23"/>
  </si>
  <si>
    <t>基本性能・運営管理・プログラム</t>
    <rPh sb="0" eb="2">
      <t>きほん</t>
    </rPh>
    <rPh sb="2" eb="4">
      <t>せいのう</t>
    </rPh>
    <rPh sb="5" eb="7">
      <t>ｳﾝｴｲ</t>
    </rPh>
    <rPh sb="7" eb="9">
      <t>ｶﾝﾘ</t>
    </rPh>
    <phoneticPr fontId="35" type="noConversion"/>
  </si>
  <si>
    <t>CASBEE-ウェルネスオフィス2025年版</t>
    <rPh sb="20" eb="21">
      <t>ネン</t>
    </rPh>
    <rPh sb="21" eb="22">
      <t>バン</t>
    </rPh>
    <phoneticPr fontId="23"/>
  </si>
  <si>
    <t>防犯対策の内、5項目を実施している</t>
    <phoneticPr fontId="23"/>
  </si>
  <si>
    <r>
      <t>レベル３に加え、シャワー室および駐輪場等の運動を促進する装備が充分</t>
    </r>
    <r>
      <rPr>
        <vertAlign val="superscript"/>
        <sz val="9"/>
        <rFont val="ＭＳ Ｐゴシック"/>
        <family val="3"/>
        <charset val="128"/>
      </rPr>
      <t>注）</t>
    </r>
    <r>
      <rPr>
        <sz val="9"/>
        <rFont val="ＭＳ Ｐゴシック"/>
        <family val="3"/>
        <charset val="128"/>
      </rPr>
      <t>にある。</t>
    </r>
    <phoneticPr fontId="23"/>
  </si>
  <si>
    <r>
      <t>中央管理方式の空気調和設備が設置されている居室の場合で、35m</t>
    </r>
    <r>
      <rPr>
        <vertAlign val="superscript"/>
        <sz val="9"/>
        <rFont val="ＭＳ Ｐゴシック"/>
        <family val="3"/>
        <charset val="128"/>
      </rPr>
      <t>3</t>
    </r>
    <r>
      <rPr>
        <sz val="9"/>
        <rFont val="ＭＳ Ｐゴシック"/>
        <family val="3"/>
        <charset val="128"/>
      </rPr>
      <t>/h人以上の換気設備容量がある</t>
    </r>
    <phoneticPr fontId="23"/>
  </si>
  <si>
    <t>設備設計：壁掛け式大便器、小便器を採用している。</t>
    <rPh sb="0" eb="2">
      <t>セツビ</t>
    </rPh>
    <rPh sb="2" eb="4">
      <t>セッケイ</t>
    </rPh>
    <phoneticPr fontId="23"/>
  </si>
  <si>
    <r>
      <t>1人当たりの執務スペース</t>
    </r>
    <r>
      <rPr>
        <vertAlign val="superscript"/>
        <sz val="9"/>
        <rFont val="ＭＳ Ｐゴシック"/>
        <family val="3"/>
        <charset val="128"/>
      </rPr>
      <t>注）</t>
    </r>
    <r>
      <rPr>
        <sz val="9"/>
        <rFont val="ＭＳ Ｐゴシック"/>
        <family val="3"/>
        <charset val="128"/>
      </rPr>
      <t>が12㎡以上で、ワーカーの働き方の多様性を考慮したオフィスである。</t>
    </r>
    <phoneticPr fontId="23"/>
  </si>
  <si>
    <t>CASBEE-WO_2025v1.0</t>
    <phoneticPr fontId="23"/>
  </si>
  <si>
    <r>
      <t>1.2</t>
    </r>
    <r>
      <rPr>
        <sz val="11"/>
        <rFont val="ＭＳ Ｐゴシック"/>
        <family val="3"/>
        <charset val="128"/>
      </rPr>
      <t>　自然災害リスク対策</t>
    </r>
    <phoneticPr fontId="119"/>
  </si>
  <si>
    <t>余裕を持った器具数が設置されており、かつ標準以上の配慮が行われている。
（評価項目が6つ以上）</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</si>
</sst>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Red]\-#,##0.0"/>
    <numFmt numFmtId="184" formatCode="#,###&quot;㎡&quot;"/>
    <numFmt numFmtId="185" formatCode="0.00;0.00;&quot;対象外&quot;"/>
    <numFmt numFmtId="186" formatCode="&quot;レベル &quot;#0.0;0.00;&quot;対象外&quot;"/>
    <numFmt numFmtId="187" formatCode="0.000;_Ā"/>
    <numFmt numFmtId="188" formatCode="0.0;0.0;&quot;－&quot;"/>
    <numFmt numFmtId="189" formatCode="0_);[Red]\(0\)"/>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i/>
      <sz val="10"/>
      <name val="Arial"/>
      <family val="2"/>
    </font>
    <font>
      <b/>
      <i/>
      <sz val="11"/>
      <name val="ＭＳ Ｐゴシック"/>
      <family val="3"/>
      <charset val="128"/>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b/>
      <sz val="9"/>
      <color indexed="8"/>
      <name val="ＭＳ Ｐゴシック"/>
      <family val="3"/>
      <charset val="128"/>
    </font>
    <font>
      <b/>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
      <sz val="10"/>
      <color theme="8" tint="-0.499984740745262"/>
      <name val="ＭＳ Ｐゴシック"/>
      <family val="3"/>
      <charset val="128"/>
    </font>
    <font>
      <sz val="11"/>
      <color theme="1"/>
      <name val="ＭＳ Ｐゴシック"/>
      <family val="2"/>
      <charset val="128"/>
    </font>
    <font>
      <sz val="6"/>
      <name val="ＭＳ Ｐゴシック"/>
      <family val="2"/>
      <charset val="128"/>
    </font>
    <font>
      <i/>
      <sz val="16"/>
      <name val="Arial"/>
      <family val="2"/>
    </font>
    <font>
      <b/>
      <sz val="11"/>
      <color indexed="18"/>
      <name val="Arial"/>
      <family val="2"/>
    </font>
    <font>
      <b/>
      <sz val="14"/>
      <color theme="0"/>
      <name val="Arial"/>
      <family val="2"/>
    </font>
    <font>
      <b/>
      <sz val="12"/>
      <color theme="0"/>
      <name val="Arial"/>
      <family val="2"/>
    </font>
    <font>
      <sz val="11"/>
      <name val="ＭＳ ゴシック"/>
      <family val="2"/>
      <charset val="128"/>
    </font>
    <font>
      <sz val="14"/>
      <color rgb="FF0070C0"/>
      <name val="Segoe UI Symbol"/>
      <family val="3"/>
    </font>
    <font>
      <b/>
      <i/>
      <sz val="18"/>
      <color rgb="FF0070C0"/>
      <name val="Arial"/>
      <family val="2"/>
    </font>
    <font>
      <sz val="11"/>
      <name val="ＭＳ Ｐゴシック"/>
      <family val="3"/>
      <charset val="128"/>
      <scheme val="minor"/>
    </font>
    <font>
      <b/>
      <sz val="11"/>
      <name val="ＭＳ Ｐゴシック"/>
      <family val="3"/>
      <charset val="128"/>
      <scheme val="minor"/>
    </font>
    <font>
      <b/>
      <sz val="10"/>
      <name val="ＭＳ ゴシック"/>
      <family val="3"/>
      <charset val="128"/>
    </font>
    <font>
      <b/>
      <sz val="10"/>
      <name val="Arial"/>
      <family val="3"/>
    </font>
    <font>
      <b/>
      <i/>
      <sz val="11"/>
      <name val="Arial"/>
      <family val="2"/>
    </font>
    <font>
      <b/>
      <sz val="11"/>
      <color theme="0"/>
      <name val="ＭＳ Ｐゴシック"/>
      <family val="3"/>
      <charset val="128"/>
    </font>
    <font>
      <sz val="11"/>
      <color theme="0"/>
      <name val="ＭＳ Ｐゴシック"/>
      <family val="3"/>
      <charset val="128"/>
    </font>
    <font>
      <b/>
      <sz val="10"/>
      <color theme="4" tint="0.79998168889431442"/>
      <name val="ＭＳ Ｐゴシック"/>
      <family val="3"/>
      <charset val="128"/>
    </font>
    <font>
      <sz val="11"/>
      <color theme="1"/>
      <name val="ＭＳ Ｐゴシック"/>
      <family val="3"/>
      <charset val="128"/>
    </font>
    <font>
      <sz val="9"/>
      <color rgb="FF000000"/>
      <name val="ＭＳ Ｐゴシック"/>
      <family val="3"/>
      <charset val="128"/>
    </font>
    <font>
      <sz val="8"/>
      <color indexed="17"/>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20"/>
      <name val="ＭＳ Ｐゴシック"/>
      <family val="3"/>
      <charset val="128"/>
    </font>
    <font>
      <b/>
      <sz val="8"/>
      <color rgb="FF008000"/>
      <name val="ＭＳ Ｐゴシック"/>
      <family val="2"/>
      <charset val="128"/>
    </font>
    <font>
      <sz val="11"/>
      <name val="Yu Gothic"/>
      <family val="2"/>
      <charset val="128"/>
    </font>
    <font>
      <vertAlign val="superscript"/>
      <sz val="9"/>
      <name val="ＭＳ Ｐゴシック"/>
      <family val="3"/>
      <charset val="128"/>
    </font>
    <font>
      <vertAlign val="superscript"/>
      <sz val="9"/>
      <color rgb="FF000000"/>
      <name val="ＭＳ Ｐゴシック"/>
      <family val="3"/>
      <charset val="128"/>
    </font>
    <font>
      <b/>
      <sz val="12"/>
      <color theme="0"/>
      <name val="ＭＳ Ｐゴシック"/>
      <family val="3"/>
      <charset val="128"/>
    </font>
    <font>
      <b/>
      <sz val="9"/>
      <color theme="0"/>
      <name val="ＭＳ Ｐゴシック"/>
      <family val="3"/>
      <charset val="128"/>
    </font>
    <font>
      <sz val="11"/>
      <color theme="1"/>
      <name val="Arial"/>
      <family val="2"/>
    </font>
    <font>
      <b/>
      <sz val="11"/>
      <color theme="1"/>
      <name val="ＭＳ Ｐゴシック"/>
      <family val="3"/>
      <charset val="128"/>
    </font>
    <font>
      <b/>
      <i/>
      <sz val="18"/>
      <color theme="5"/>
      <name val="Arial"/>
      <family val="2"/>
    </font>
    <font>
      <sz val="14"/>
      <color theme="5"/>
      <name val="Segoe UI Symbol"/>
      <family val="3"/>
    </font>
    <font>
      <sz val="11"/>
      <name val="ＭＳ Ｐゴシック"/>
      <family val="2"/>
      <charset val="128"/>
    </font>
    <font>
      <b/>
      <sz val="12"/>
      <color rgb="FFFF0000"/>
      <name val="ＭＳ Ｐゴシック"/>
      <family val="3"/>
      <charset val="128"/>
    </font>
    <font>
      <b/>
      <sz val="11"/>
      <color rgb="FFFF0000"/>
      <name val="ＭＳ Ｐゴシック"/>
      <family val="3"/>
      <charset val="128"/>
    </font>
    <font>
      <b/>
      <sz val="9"/>
      <color rgb="FFFF0000"/>
      <name val="Arial"/>
      <family val="2"/>
    </font>
    <font>
      <b/>
      <sz val="9"/>
      <color rgb="FFFF0000"/>
      <name val="ＭＳ Ｐゴシック"/>
      <family val="3"/>
      <charset val="128"/>
    </font>
    <font>
      <sz val="11"/>
      <color rgb="FFFF0000"/>
      <name val="ＭＳ Ｐゴシック"/>
      <family val="2"/>
      <charset val="128"/>
    </font>
    <font>
      <sz val="6"/>
      <name val="ＭＳ Ｐゴシック"/>
      <family val="2"/>
      <charset val="128"/>
      <scheme val="minor"/>
    </font>
    <font>
      <b/>
      <sz val="11"/>
      <color rgb="FFFFFFCC"/>
      <name val="ＭＳ Ｐゴシック"/>
      <family val="3"/>
      <charset val="128"/>
    </font>
    <font>
      <b/>
      <sz val="10"/>
      <color theme="0"/>
      <name val="ＭＳ Ｐ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C0C0"/>
        <bgColor indexed="64"/>
      </patternFill>
    </fill>
    <fill>
      <patternFill patternType="solid">
        <fgColor theme="0" tint="-0.499984740745262"/>
        <bgColor indexed="64"/>
      </patternFill>
    </fill>
    <fill>
      <patternFill patternType="solid">
        <fgColor rgb="FFFFFF00"/>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right style="medium">
        <color indexed="17"/>
      </right>
      <top style="hair">
        <color indexed="64"/>
      </top>
      <bottom style="hair">
        <color indexed="64"/>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23"/>
      </bottom>
      <diagonal/>
    </border>
    <border>
      <left/>
      <right style="medium">
        <color indexed="64"/>
      </right>
      <top/>
      <bottom style="medium">
        <color indexed="23"/>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23"/>
      </bottom>
      <diagonal/>
    </border>
    <border>
      <left style="medium">
        <color indexed="64"/>
      </left>
      <right/>
      <top style="medium">
        <color indexed="64"/>
      </top>
      <bottom style="medium">
        <color theme="1" tint="0.34998626667073579"/>
      </bottom>
      <diagonal/>
    </border>
    <border>
      <left/>
      <right/>
      <top style="medium">
        <color indexed="64"/>
      </top>
      <bottom style="medium">
        <color theme="1" tint="0.34998626667073579"/>
      </bottom>
      <diagonal/>
    </border>
    <border>
      <left/>
      <right style="medium">
        <color indexed="64"/>
      </right>
      <top style="medium">
        <color indexed="64"/>
      </top>
      <bottom style="medium">
        <color theme="1" tint="0.34998626667073579"/>
      </bottom>
      <diagonal/>
    </border>
    <border>
      <left style="thin">
        <color indexed="64"/>
      </left>
      <right style="medium">
        <color indexed="64"/>
      </right>
      <top style="medium">
        <color indexed="64"/>
      </top>
      <bottom style="medium">
        <color theme="1" tint="0.34998626667073579"/>
      </bottom>
      <diagonal/>
    </border>
    <border>
      <left style="medium">
        <color indexed="64"/>
      </left>
      <right/>
      <top/>
      <bottom style="medium">
        <color theme="1" tint="0.34998626667073579"/>
      </bottom>
      <diagonal/>
    </border>
    <border>
      <left/>
      <right/>
      <top style="medium">
        <color indexed="23"/>
      </top>
      <bottom style="medium">
        <color theme="1" tint="0.34998626667073579"/>
      </bottom>
      <diagonal/>
    </border>
    <border>
      <left/>
      <right style="medium">
        <color indexed="64"/>
      </right>
      <top style="medium">
        <color indexed="23"/>
      </top>
      <bottom style="medium">
        <color theme="1" tint="0.34998626667073579"/>
      </bottom>
      <diagonal/>
    </border>
    <border>
      <left style="medium">
        <color indexed="64"/>
      </left>
      <right/>
      <top style="medium">
        <color indexed="23"/>
      </top>
      <bottom style="medium">
        <color theme="1" tint="0.34998626667073579"/>
      </bottom>
      <diagonal/>
    </border>
    <border>
      <left style="thin">
        <color indexed="64"/>
      </left>
      <right style="medium">
        <color indexed="64"/>
      </right>
      <top style="medium">
        <color indexed="23"/>
      </top>
      <bottom style="medium">
        <color theme="1" tint="0.34998626667073579"/>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left>
      <right/>
      <top style="thin">
        <color indexed="64"/>
      </top>
      <bottom/>
      <diagonal/>
    </border>
    <border>
      <left style="thin">
        <color indexed="64"/>
      </left>
      <right style="hair">
        <color indexed="64"/>
      </right>
      <top style="thin">
        <color indexed="64"/>
      </top>
      <bottom style="thin">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64"/>
      </right>
      <top style="medium">
        <color indexed="64"/>
      </top>
      <bottom style="medium">
        <color indexed="9"/>
      </bottom>
      <diagonal/>
    </border>
    <border>
      <left style="medium">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medium">
        <color indexed="64"/>
      </right>
      <top/>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0" fontId="118" fillId="0" borderId="0">
      <alignment vertical="center"/>
    </xf>
  </cellStyleXfs>
  <cellXfs count="1025">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0" xfId="0" applyAlignment="1">
      <alignment vertical="center" wrapText="1"/>
    </xf>
    <xf numFmtId="0" fontId="8" fillId="25" borderId="0" xfId="0" applyFont="1" applyFill="1">
      <alignment vertical="center"/>
    </xf>
    <xf numFmtId="0" fontId="13" fillId="25" borderId="0" xfId="0" applyFont="1" applyFill="1">
      <alignment vertical="center"/>
    </xf>
    <xf numFmtId="0" fontId="25" fillId="26" borderId="0" xfId="0" applyFont="1" applyFill="1" applyAlignment="1" applyProtection="1">
      <alignment horizontal="centerContinuous" vertical="center"/>
      <protection hidden="1"/>
    </xf>
    <xf numFmtId="0" fontId="26" fillId="26" borderId="0" xfId="0" applyFont="1" applyFill="1" applyAlignment="1" applyProtection="1">
      <alignment horizontal="centerContinuous" vertical="center"/>
      <protection hidden="1"/>
    </xf>
    <xf numFmtId="0" fontId="25" fillId="26" borderId="0" xfId="0" applyFont="1" applyFill="1" applyAlignment="1" applyProtection="1">
      <alignment horizontal="centerContinuous" vertical="top"/>
      <protection hidden="1"/>
    </xf>
    <xf numFmtId="0" fontId="0" fillId="25" borderId="0" xfId="0" applyFill="1">
      <alignment vertical="center"/>
    </xf>
    <xf numFmtId="0" fontId="27" fillId="25" borderId="0" xfId="0" applyFont="1" applyFill="1" applyAlignment="1">
      <alignment horizontal="left" vertical="center"/>
    </xf>
    <xf numFmtId="0" fontId="28" fillId="25" borderId="0" xfId="0" applyFont="1" applyFill="1" applyAlignment="1">
      <alignment horizontal="left" vertical="center"/>
    </xf>
    <xf numFmtId="0" fontId="0" fillId="25" borderId="0" xfId="0" applyFill="1" applyProtection="1">
      <alignment vertical="center"/>
      <protection hidden="1"/>
    </xf>
    <xf numFmtId="0" fontId="29" fillId="25" borderId="0" xfId="0" applyFont="1" applyFill="1" applyAlignment="1">
      <alignment horizontal="left" vertical="center"/>
    </xf>
    <xf numFmtId="0" fontId="30" fillId="25" borderId="0" xfId="0" applyFont="1" applyFill="1" applyAlignment="1">
      <alignment horizontal="left" vertical="center"/>
    </xf>
    <xf numFmtId="0" fontId="31" fillId="0" borderId="18" xfId="0" applyFont="1"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32" fillId="26" borderId="21" xfId="0" applyFont="1" applyFill="1" applyBorder="1" applyProtection="1">
      <alignment vertical="center"/>
      <protection hidden="1"/>
    </xf>
    <xf numFmtId="0" fontId="33" fillId="26" borderId="22" xfId="0" applyFont="1" applyFill="1" applyBorder="1" applyProtection="1">
      <alignment vertical="center"/>
      <protection hidden="1"/>
    </xf>
    <xf numFmtId="0" fontId="33" fillId="26" borderId="23" xfId="0" applyFont="1" applyFill="1" applyBorder="1" applyProtection="1">
      <alignment vertical="center"/>
      <protection hidden="1"/>
    </xf>
    <xf numFmtId="0" fontId="32" fillId="26" borderId="24" xfId="0" applyFont="1" applyFill="1" applyBorder="1" applyProtection="1">
      <alignment vertical="center"/>
      <protection hidden="1"/>
    </xf>
    <xf numFmtId="0" fontId="33" fillId="26" borderId="0" xfId="0" applyFont="1" applyFill="1" applyProtection="1">
      <alignment vertical="center"/>
      <protection hidden="1"/>
    </xf>
    <xf numFmtId="0" fontId="33" fillId="26" borderId="25" xfId="0" applyFont="1" applyFill="1" applyBorder="1" applyProtection="1">
      <alignment vertical="center"/>
      <protection hidden="1"/>
    </xf>
    <xf numFmtId="49" fontId="34" fillId="25" borderId="24" xfId="0" applyNumberFormat="1" applyFont="1" applyFill="1" applyBorder="1" applyAlignment="1" applyProtection="1">
      <protection hidden="1"/>
    </xf>
    <xf numFmtId="0" fontId="34" fillId="0" borderId="10" xfId="0" applyFont="1" applyBorder="1" applyAlignment="1" applyProtection="1">
      <alignment horizontal="right" vertical="center"/>
      <protection locked="0"/>
    </xf>
    <xf numFmtId="178" fontId="8" fillId="25" borderId="0" xfId="0" applyNumberFormat="1" applyFont="1" applyFill="1" applyAlignment="1">
      <alignment horizontal="right" vertical="center"/>
    </xf>
    <xf numFmtId="178" fontId="8" fillId="25" borderId="25" xfId="0" applyNumberFormat="1" applyFont="1" applyFill="1" applyBorder="1" applyAlignment="1">
      <alignment horizontal="right" vertical="center"/>
    </xf>
    <xf numFmtId="0" fontId="34" fillId="25" borderId="24" xfId="0" applyFont="1" applyFill="1" applyBorder="1" applyAlignment="1" applyProtection="1">
      <protection hidden="1"/>
    </xf>
    <xf numFmtId="0" fontId="34" fillId="0" borderId="26"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55" fontId="34" fillId="0" borderId="10" xfId="0" applyNumberFormat="1" applyFont="1" applyBorder="1" applyAlignment="1" applyProtection="1">
      <alignment horizontal="right" vertical="center"/>
      <protection locked="0"/>
    </xf>
    <xf numFmtId="178" fontId="34" fillId="0" borderId="10" xfId="34" applyNumberFormat="1" applyFont="1" applyBorder="1" applyAlignment="1" applyProtection="1">
      <alignment horizontal="right" vertical="center"/>
      <protection locked="0"/>
    </xf>
    <xf numFmtId="0" fontId="29" fillId="25" borderId="0" xfId="0" applyFont="1" applyFill="1" applyAlignment="1" applyProtection="1">
      <alignment horizontal="left" vertical="center"/>
      <protection hidden="1"/>
    </xf>
    <xf numFmtId="40" fontId="8" fillId="25" borderId="10" xfId="34" applyNumberFormat="1" applyFill="1" applyBorder="1" applyAlignment="1">
      <alignment horizontal="right" vertical="center"/>
    </xf>
    <xf numFmtId="0" fontId="34" fillId="25" borderId="24" xfId="0" applyFont="1" applyFill="1" applyBorder="1" applyAlignment="1" applyProtection="1">
      <alignment horizontal="left"/>
      <protection hidden="1"/>
    </xf>
    <xf numFmtId="180" fontId="34" fillId="0" borderId="10" xfId="0" applyNumberFormat="1" applyFont="1" applyBorder="1" applyAlignment="1" applyProtection="1">
      <alignment horizontal="right" vertical="center"/>
      <protection locked="0"/>
    </xf>
    <xf numFmtId="0" fontId="34" fillId="25" borderId="0" xfId="0" applyFont="1" applyFill="1" applyAlignment="1" applyProtection="1">
      <protection hidden="1"/>
    </xf>
    <xf numFmtId="0" fontId="34" fillId="25" borderId="25" xfId="0" applyFont="1" applyFill="1" applyBorder="1" applyAlignment="1" applyProtection="1">
      <protection hidden="1"/>
    </xf>
    <xf numFmtId="0" fontId="0" fillId="25" borderId="0" xfId="0" applyFill="1" applyAlignment="1"/>
    <xf numFmtId="0" fontId="32" fillId="26" borderId="29" xfId="0" applyFont="1" applyFill="1" applyBorder="1" applyProtection="1">
      <alignment vertical="center"/>
      <protection hidden="1"/>
    </xf>
    <xf numFmtId="0" fontId="33" fillId="26" borderId="19" xfId="0" applyFont="1" applyFill="1" applyBorder="1" applyProtection="1">
      <alignment vertical="center"/>
      <protection hidden="1"/>
    </xf>
    <xf numFmtId="0" fontId="33" fillId="26" borderId="20" xfId="0" applyFont="1" applyFill="1" applyBorder="1" applyProtection="1">
      <alignment vertical="center"/>
      <protection hidden="1"/>
    </xf>
    <xf numFmtId="31" fontId="34" fillId="0" borderId="10" xfId="0" applyNumberFormat="1" applyFont="1" applyBorder="1" applyAlignment="1" applyProtection="1">
      <alignment horizontal="right" vertical="center"/>
      <protection locked="0"/>
    </xf>
    <xf numFmtId="0" fontId="34" fillId="25" borderId="0" xfId="0" applyFont="1" applyFill="1">
      <alignment vertical="center"/>
    </xf>
    <xf numFmtId="0" fontId="36" fillId="0" borderId="31" xfId="0" applyFont="1" applyBorder="1" applyAlignment="1" applyProtection="1">
      <alignment horizontal="right" vertical="center"/>
      <protection locked="0"/>
    </xf>
    <xf numFmtId="0" fontId="39" fillId="25" borderId="32" xfId="0" applyFont="1" applyFill="1" applyBorder="1" applyProtection="1">
      <alignment vertical="center"/>
      <protection hidden="1"/>
    </xf>
    <xf numFmtId="0" fontId="0" fillId="25" borderId="33" xfId="0" applyFill="1" applyBorder="1" applyAlignment="1" applyProtection="1">
      <protection hidden="1"/>
    </xf>
    <xf numFmtId="0" fontId="34" fillId="25" borderId="19" xfId="0" applyFont="1" applyFill="1" applyBorder="1" applyAlignment="1" applyProtection="1">
      <alignment horizontal="left" vertical="top" wrapText="1"/>
      <protection hidden="1"/>
    </xf>
    <xf numFmtId="0" fontId="31" fillId="0" borderId="34" xfId="0" applyFont="1" applyBorder="1" applyProtection="1">
      <alignment vertical="center"/>
      <protection hidden="1"/>
    </xf>
    <xf numFmtId="0" fontId="31" fillId="0" borderId="35" xfId="0" applyFont="1" applyBorder="1" applyProtection="1">
      <alignment vertical="center"/>
      <protection hidden="1"/>
    </xf>
    <xf numFmtId="0" fontId="31" fillId="0" borderId="36" xfId="0" applyFont="1" applyBorder="1" applyProtection="1">
      <alignment vertical="center"/>
      <protection hidden="1"/>
    </xf>
    <xf numFmtId="0" fontId="32" fillId="26" borderId="24" xfId="0" applyFont="1" applyFill="1" applyBorder="1" applyAlignment="1" applyProtection="1">
      <alignment horizontal="center" vertical="center"/>
      <protection hidden="1"/>
    </xf>
    <xf numFmtId="0" fontId="32" fillId="26" borderId="37" xfId="0" applyFont="1" applyFill="1" applyBorder="1" applyAlignment="1" applyProtection="1">
      <alignment horizontal="center" vertical="center"/>
      <protection hidden="1"/>
    </xf>
    <xf numFmtId="0" fontId="32" fillId="26" borderId="25" xfId="0" applyFont="1" applyFill="1" applyBorder="1" applyAlignment="1" applyProtection="1">
      <alignment horizontal="center" vertical="center"/>
      <protection hidden="1"/>
    </xf>
    <xf numFmtId="0" fontId="34" fillId="25" borderId="18" xfId="0" applyFont="1" applyFill="1" applyBorder="1" applyProtection="1">
      <alignment vertical="center"/>
      <protection hidden="1"/>
    </xf>
    <xf numFmtId="178" fontId="8" fillId="0" borderId="10" xfId="34" applyNumberFormat="1" applyBorder="1" applyAlignment="1" applyProtection="1">
      <alignment horizontal="right" vertical="center"/>
      <protection locked="0"/>
    </xf>
    <xf numFmtId="0" fontId="34" fillId="25" borderId="24" xfId="0" applyFont="1" applyFill="1" applyBorder="1" applyProtection="1">
      <alignment vertical="center"/>
      <protection hidden="1"/>
    </xf>
    <xf numFmtId="0" fontId="34" fillId="25" borderId="0" xfId="0" applyFont="1" applyFill="1" applyProtection="1">
      <alignment vertical="center"/>
      <protection hidden="1"/>
    </xf>
    <xf numFmtId="0" fontId="8" fillId="0" borderId="28" xfId="0" applyFont="1" applyBorder="1" applyAlignment="1" applyProtection="1">
      <alignment horizontal="center" vertical="center"/>
      <protection locked="0"/>
    </xf>
    <xf numFmtId="0" fontId="34" fillId="25" borderId="30" xfId="0" applyFont="1" applyFill="1" applyBorder="1" applyProtection="1">
      <alignment vertical="center"/>
      <protection hidden="1"/>
    </xf>
    <xf numFmtId="0" fontId="34" fillId="25" borderId="32" xfId="0" applyFont="1" applyFill="1" applyBorder="1" applyProtection="1">
      <alignment vertical="center"/>
      <protection hidden="1"/>
    </xf>
    <xf numFmtId="0" fontId="34" fillId="25" borderId="33" xfId="0" applyFont="1" applyFill="1" applyBorder="1" applyProtection="1">
      <alignment vertical="center"/>
      <protection hidden="1"/>
    </xf>
    <xf numFmtId="0" fontId="31" fillId="0" borderId="29" xfId="0" applyFont="1" applyBorder="1" applyProtection="1">
      <alignment vertical="center"/>
      <protection hidden="1"/>
    </xf>
    <xf numFmtId="0" fontId="41" fillId="0" borderId="38" xfId="0" applyFont="1" applyBorder="1" applyAlignment="1" applyProtection="1">
      <alignment horizontal="left" vertical="center" indent="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horizontal="right" vertical="center"/>
      <protection hidden="1"/>
    </xf>
    <xf numFmtId="0" fontId="32" fillId="26" borderId="40" xfId="0" applyFont="1" applyFill="1" applyBorder="1" applyProtection="1">
      <alignment vertical="center"/>
      <protection hidden="1"/>
    </xf>
    <xf numFmtId="0" fontId="0" fillId="25" borderId="41" xfId="0" applyFill="1" applyBorder="1" applyAlignment="1" applyProtection="1">
      <alignment horizontal="left" vertical="center" indent="1"/>
      <protection hidden="1"/>
    </xf>
    <xf numFmtId="0" fontId="0" fillId="25" borderId="42" xfId="0" applyFill="1" applyBorder="1" applyAlignment="1" applyProtection="1">
      <alignment horizontal="left" vertical="center" indent="1"/>
      <protection hidden="1"/>
    </xf>
    <xf numFmtId="0" fontId="32" fillId="26" borderId="43" xfId="0" applyFont="1" applyFill="1" applyBorder="1" applyProtection="1">
      <alignment vertical="center"/>
      <protection hidden="1"/>
    </xf>
    <xf numFmtId="0" fontId="42" fillId="25" borderId="13" xfId="28" applyFont="1" applyFill="1" applyBorder="1" applyAlignment="1" applyProtection="1">
      <alignment horizontal="left" vertical="center" indent="1"/>
      <protection hidden="1"/>
    </xf>
    <xf numFmtId="0" fontId="0" fillId="25" borderId="44" xfId="0" applyFill="1" applyBorder="1" applyAlignment="1" applyProtection="1">
      <alignment horizontal="left" vertical="center" indent="1"/>
      <protection hidden="1"/>
    </xf>
    <xf numFmtId="0" fontId="42" fillId="25" borderId="45" xfId="28" applyFont="1" applyFill="1" applyBorder="1" applyAlignment="1" applyProtection="1">
      <alignment horizontal="left" vertical="center" indent="1"/>
      <protection hidden="1"/>
    </xf>
    <xf numFmtId="0" fontId="0" fillId="25" borderId="46" xfId="0" applyFill="1" applyBorder="1" applyAlignment="1" applyProtection="1">
      <alignment horizontal="left" vertical="center" indent="1"/>
      <protection hidden="1"/>
    </xf>
    <xf numFmtId="0" fontId="8"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44" fillId="0" borderId="0" xfId="0" applyFont="1" applyAlignment="1" applyProtection="1">
      <alignment horizontal="right" vertical="center"/>
      <protection hidden="1"/>
    </xf>
    <xf numFmtId="0" fontId="46" fillId="0" borderId="0" xfId="0" applyFont="1" applyProtection="1">
      <alignment vertical="center"/>
      <protection hidden="1"/>
    </xf>
    <xf numFmtId="0" fontId="46" fillId="0" borderId="0" xfId="0" applyFont="1" applyAlignment="1" applyProtection="1">
      <alignment horizontal="center" vertical="center"/>
      <protection hidden="1"/>
    </xf>
    <xf numFmtId="14" fontId="47" fillId="0" borderId="0" xfId="0" applyNumberFormat="1" applyFont="1" applyAlignment="1" applyProtection="1">
      <alignment horizontal="center" vertical="center"/>
      <protection hidden="1"/>
    </xf>
    <xf numFmtId="0" fontId="48" fillId="0" borderId="0" xfId="0" applyFont="1" applyProtection="1">
      <alignment vertical="center"/>
      <protection hidden="1"/>
    </xf>
    <xf numFmtId="177" fontId="48" fillId="0" borderId="0" xfId="0" applyNumberFormat="1" applyFont="1" applyProtection="1">
      <alignment vertical="center"/>
      <protection hidden="1"/>
    </xf>
    <xf numFmtId="0" fontId="47" fillId="0" borderId="0" xfId="0" applyFont="1" applyProtection="1">
      <alignment vertical="center"/>
      <protection hidden="1"/>
    </xf>
    <xf numFmtId="0" fontId="27" fillId="0" borderId="0" xfId="0" applyFont="1" applyAlignment="1" applyProtection="1">
      <protection hidden="1"/>
    </xf>
    <xf numFmtId="0" fontId="49" fillId="0" borderId="0" xfId="0"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54" fillId="0" borderId="0" xfId="0" applyFont="1" applyProtection="1">
      <alignment vertical="center"/>
      <protection hidden="1"/>
    </xf>
    <xf numFmtId="0" fontId="30"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5" fillId="0" borderId="0" xfId="0" applyFont="1" applyAlignment="1" applyProtection="1">
      <alignment horizontal="left" vertical="top"/>
      <protection hidden="1"/>
    </xf>
    <xf numFmtId="0" fontId="50" fillId="0" borderId="0" xfId="0" applyFont="1" applyAlignment="1" applyProtection="1">
      <alignment horizontal="lef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7" fillId="0" borderId="0" xfId="0" applyFont="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2" fillId="28" borderId="65" xfId="0" applyFont="1" applyFill="1" applyBorder="1" applyAlignment="1" applyProtection="1">
      <alignment horizontal="left" vertical="center"/>
      <protection hidden="1"/>
    </xf>
    <xf numFmtId="0" fontId="62" fillId="28" borderId="66" xfId="0" applyFont="1" applyFill="1" applyBorder="1" applyAlignment="1" applyProtection="1">
      <alignment horizontal="left" vertical="center"/>
      <protection hidden="1"/>
    </xf>
    <xf numFmtId="0" fontId="63" fillId="28" borderId="66" xfId="0" applyFont="1" applyFill="1" applyBorder="1" applyAlignment="1" applyProtection="1">
      <alignment horizontal="right" vertical="top"/>
      <protection hidden="1"/>
    </xf>
    <xf numFmtId="0" fontId="54" fillId="28" borderId="67" xfId="0" applyFont="1" applyFill="1" applyBorder="1" applyProtection="1">
      <alignment vertical="center"/>
      <protection hidden="1"/>
    </xf>
    <xf numFmtId="0" fontId="54" fillId="28" borderId="57" xfId="0" applyFont="1" applyFill="1" applyBorder="1" applyProtection="1">
      <alignment vertical="center"/>
      <protection hidden="1"/>
    </xf>
    <xf numFmtId="0" fontId="64" fillId="0" borderId="0" xfId="0" applyFont="1" applyProtection="1">
      <alignment vertical="center"/>
      <protection hidden="1"/>
    </xf>
    <xf numFmtId="49" fontId="34" fillId="0" borderId="69" xfId="0" applyNumberFormat="1" applyFont="1" applyBorder="1" applyAlignment="1" applyProtection="1">
      <alignment horizontal="left" vertical="center"/>
      <protection hidden="1"/>
    </xf>
    <xf numFmtId="3" fontId="28" fillId="0" borderId="70" xfId="0" applyNumberFormat="1" applyFont="1" applyBorder="1" applyAlignment="1" applyProtection="1">
      <alignment horizontal="left" vertical="center"/>
      <protection hidden="1"/>
    </xf>
    <xf numFmtId="3" fontId="34" fillId="0" borderId="71" xfId="0" applyNumberFormat="1" applyFont="1" applyBorder="1" applyProtection="1">
      <alignment vertical="center"/>
      <protection hidden="1"/>
    </xf>
    <xf numFmtId="0" fontId="54" fillId="0" borderId="72" xfId="0" applyFont="1" applyBorder="1" applyProtection="1">
      <alignment vertical="center"/>
      <protection hidden="1"/>
    </xf>
    <xf numFmtId="0" fontId="34" fillId="0" borderId="59"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4" fillId="0" borderId="73" xfId="0" quotePrefix="1" applyFont="1" applyBorder="1" applyAlignment="1" applyProtection="1">
      <alignment horizontal="left" vertical="center"/>
      <protection hidden="1"/>
    </xf>
    <xf numFmtId="2" fontId="35" fillId="0" borderId="0" xfId="0" applyNumberFormat="1" applyFont="1" applyAlignment="1" applyProtection="1">
      <alignment horizontal="left" vertical="center"/>
      <protection hidden="1"/>
    </xf>
    <xf numFmtId="0" fontId="65" fillId="0" borderId="0" xfId="0" applyFont="1" applyProtection="1">
      <alignment vertical="center"/>
      <protection hidden="1"/>
    </xf>
    <xf numFmtId="0" fontId="65" fillId="0" borderId="60" xfId="0" applyFont="1" applyBorder="1" applyProtection="1">
      <alignment vertical="center"/>
      <protection hidden="1"/>
    </xf>
    <xf numFmtId="0" fontId="8" fillId="0" borderId="10" xfId="0" applyFont="1" applyBorder="1" applyProtection="1">
      <alignment vertical="center"/>
      <protection hidden="1"/>
    </xf>
    <xf numFmtId="0" fontId="66" fillId="0" borderId="10" xfId="0" applyFont="1" applyBorder="1" applyProtection="1">
      <alignment vertical="center"/>
      <protection hidden="1"/>
    </xf>
    <xf numFmtId="0" fontId="47" fillId="0" borderId="10" xfId="0" applyFont="1" applyBorder="1" applyProtection="1">
      <alignment vertical="center"/>
      <protection hidden="1"/>
    </xf>
    <xf numFmtId="0" fontId="54" fillId="0" borderId="10" xfId="0" applyFont="1" applyBorder="1" applyProtection="1">
      <alignment vertical="center"/>
      <protection hidden="1"/>
    </xf>
    <xf numFmtId="0" fontId="34" fillId="0" borderId="59" xfId="0" applyFont="1" applyBorder="1" applyProtection="1">
      <alignment vertical="center"/>
      <protection hidden="1"/>
    </xf>
    <xf numFmtId="3" fontId="28" fillId="0" borderId="0" xfId="0" applyNumberFormat="1" applyFont="1" applyAlignment="1" applyProtection="1">
      <alignment horizontal="left" vertical="center"/>
      <protection hidden="1"/>
    </xf>
    <xf numFmtId="3" fontId="34" fillId="0" borderId="73" xfId="0" applyNumberFormat="1" applyFont="1" applyBorder="1" applyProtection="1">
      <alignment vertical="center"/>
      <protection hidden="1"/>
    </xf>
    <xf numFmtId="3" fontId="34" fillId="0" borderId="0" xfId="0" applyNumberFormat="1" applyFont="1" applyAlignment="1" applyProtection="1">
      <alignment horizontal="left" vertical="center"/>
      <protection hidden="1"/>
    </xf>
    <xf numFmtId="0" fontId="34" fillId="0" borderId="74" xfId="0" applyFont="1" applyBorder="1" applyAlignment="1" applyProtection="1">
      <alignment horizontal="left" vertical="center"/>
      <protection hidden="1"/>
    </xf>
    <xf numFmtId="0" fontId="35" fillId="0" borderId="54" xfId="0" applyFont="1" applyBorder="1" applyAlignment="1" applyProtection="1">
      <alignment horizontal="left" vertical="center"/>
      <protection hidden="1"/>
    </xf>
    <xf numFmtId="0" fontId="34" fillId="0" borderId="75" xfId="0" applyFont="1" applyBorder="1" applyAlignment="1" applyProtection="1">
      <alignment horizontal="left" vertical="center"/>
      <protection hidden="1"/>
    </xf>
    <xf numFmtId="3" fontId="35" fillId="0" borderId="76" xfId="0" applyNumberFormat="1" applyFont="1" applyBorder="1" applyAlignment="1" applyProtection="1">
      <alignment horizontal="left" vertical="center"/>
      <protection hidden="1"/>
    </xf>
    <xf numFmtId="0" fontId="54" fillId="0" borderId="59" xfId="0" applyFont="1" applyBorder="1" applyProtection="1">
      <alignment vertical="center"/>
      <protection hidden="1"/>
    </xf>
    <xf numFmtId="0" fontId="54" fillId="0" borderId="60" xfId="0" applyFont="1" applyBorder="1" applyProtection="1">
      <alignment vertical="center"/>
      <protection hidden="1"/>
    </xf>
    <xf numFmtId="0" fontId="47" fillId="0" borderId="10" xfId="34" applyNumberFormat="1" applyFont="1" applyBorder="1" applyAlignment="1" applyProtection="1">
      <protection hidden="1"/>
    </xf>
    <xf numFmtId="3" fontId="35" fillId="0" borderId="0" xfId="0" applyNumberFormat="1" applyFont="1" applyAlignment="1" applyProtection="1">
      <alignment horizontal="left" vertical="center"/>
      <protection hidden="1"/>
    </xf>
    <xf numFmtId="180" fontId="34" fillId="0" borderId="73" xfId="0" applyNumberFormat="1" applyFont="1" applyBorder="1" applyAlignment="1" applyProtection="1">
      <alignment horizontal="right" vertical="center"/>
      <protection hidden="1"/>
    </xf>
    <xf numFmtId="0" fontId="54" fillId="0" borderId="59" xfId="0" applyFont="1" applyBorder="1" applyProtection="1">
      <alignment vertical="center"/>
      <protection locked="0"/>
    </xf>
    <xf numFmtId="0" fontId="54" fillId="0" borderId="0" xfId="0" applyFont="1" applyProtection="1">
      <alignment vertical="center"/>
      <protection locked="0"/>
    </xf>
    <xf numFmtId="0" fontId="54" fillId="0" borderId="60" xfId="0" applyFont="1" applyBorder="1" applyProtection="1">
      <alignment vertical="center"/>
      <protection locked="0"/>
    </xf>
    <xf numFmtId="0" fontId="47" fillId="0" borderId="10" xfId="0" applyFont="1" applyBorder="1" applyAlignment="1" applyProtection="1">
      <alignment horizontal="left" vertical="center" wrapText="1"/>
      <protection hidden="1"/>
    </xf>
    <xf numFmtId="0" fontId="34" fillId="0" borderId="74" xfId="0" applyFont="1" applyBorder="1" applyProtection="1">
      <alignment vertical="center"/>
      <protection hidden="1"/>
    </xf>
    <xf numFmtId="3" fontId="28" fillId="0" borderId="54" xfId="0" applyNumberFormat="1" applyFont="1" applyBorder="1" applyAlignment="1" applyProtection="1">
      <alignment horizontal="left" vertical="center"/>
      <protection hidden="1"/>
    </xf>
    <xf numFmtId="3" fontId="34" fillId="0" borderId="54" xfId="0" applyNumberFormat="1" applyFont="1" applyBorder="1" applyAlignment="1" applyProtection="1">
      <alignment horizontal="left" vertical="center"/>
      <protection hidden="1"/>
    </xf>
    <xf numFmtId="0" fontId="54" fillId="0" borderId="76" xfId="0" applyFont="1" applyBorder="1" applyProtection="1">
      <alignment vertical="center"/>
      <protection hidden="1"/>
    </xf>
    <xf numFmtId="180" fontId="34" fillId="0" borderId="75" xfId="0" applyNumberFormat="1" applyFont="1" applyBorder="1" applyAlignment="1" applyProtection="1">
      <alignment horizontal="right" vertical="center"/>
      <protection hidden="1"/>
    </xf>
    <xf numFmtId="49" fontId="34" fillId="0" borderId="77" xfId="0" applyNumberFormat="1" applyFont="1" applyBorder="1" applyAlignment="1" applyProtection="1">
      <alignment horizontal="left" vertical="center"/>
      <protection hidden="1"/>
    </xf>
    <xf numFmtId="3" fontId="28" fillId="0" borderId="47" xfId="0" applyNumberFormat="1" applyFont="1" applyBorder="1" applyAlignment="1" applyProtection="1">
      <alignment horizontal="left" vertical="center"/>
      <protection hidden="1"/>
    </xf>
    <xf numFmtId="3" fontId="34" fillId="0" borderId="78" xfId="0" applyNumberFormat="1" applyFont="1" applyBorder="1" applyProtection="1">
      <alignment vertical="center"/>
      <protection hidden="1"/>
    </xf>
    <xf numFmtId="0" fontId="54" fillId="0" borderId="79" xfId="0" applyFont="1" applyBorder="1" applyProtection="1">
      <alignment vertical="center"/>
      <protection hidden="1"/>
    </xf>
    <xf numFmtId="0" fontId="35" fillId="0" borderId="54" xfId="0" applyFont="1" applyBorder="1" applyProtection="1">
      <alignment vertical="center"/>
      <protection hidden="1"/>
    </xf>
    <xf numFmtId="3" fontId="67" fillId="0" borderId="0" xfId="0" applyNumberFormat="1" applyFont="1" applyAlignment="1" applyProtection="1">
      <alignment horizontal="left" vertical="center"/>
      <protection locked="0"/>
    </xf>
    <xf numFmtId="0" fontId="68" fillId="0" borderId="0" xfId="0" applyFont="1" applyProtection="1">
      <alignment vertical="center"/>
      <protection hidden="1"/>
    </xf>
    <xf numFmtId="31" fontId="34" fillId="0" borderId="73" xfId="0" applyNumberFormat="1" applyFont="1" applyBorder="1" applyAlignment="1" applyProtection="1">
      <alignment horizontal="left" vertical="center" shrinkToFit="1"/>
      <protection hidden="1"/>
    </xf>
    <xf numFmtId="0" fontId="35" fillId="0" borderId="0" xfId="0" applyFont="1" applyProtection="1">
      <alignment vertical="center"/>
      <protection hidden="1"/>
    </xf>
    <xf numFmtId="3" fontId="69" fillId="0" borderId="0" xfId="0" applyNumberFormat="1" applyFont="1" applyAlignment="1" applyProtection="1">
      <alignment horizontal="left" vertical="center"/>
      <protection locked="0"/>
    </xf>
    <xf numFmtId="37" fontId="35" fillId="0" borderId="0" xfId="0" applyNumberFormat="1" applyFont="1" applyAlignment="1" applyProtection="1">
      <alignment horizontal="left" vertical="center"/>
      <protection hidden="1"/>
    </xf>
    <xf numFmtId="0" fontId="54" fillId="0" borderId="73" xfId="0" applyFont="1" applyBorder="1" applyProtection="1">
      <alignment vertical="center"/>
      <protection hidden="1"/>
    </xf>
    <xf numFmtId="3" fontId="34" fillId="0" borderId="0" xfId="0" applyNumberFormat="1" applyFont="1" applyAlignment="1" applyProtection="1">
      <alignment horizontal="right" vertical="center"/>
      <protection hidden="1"/>
    </xf>
    <xf numFmtId="181" fontId="34" fillId="0" borderId="0" xfId="0" applyNumberFormat="1" applyFont="1" applyAlignment="1" applyProtection="1">
      <alignment horizontal="left" vertical="center"/>
      <protection hidden="1"/>
    </xf>
    <xf numFmtId="14" fontId="34" fillId="0" borderId="73" xfId="0" applyNumberFormat="1" applyFont="1" applyBorder="1" applyAlignment="1" applyProtection="1">
      <alignment horizontal="left" vertical="center"/>
      <protection hidden="1"/>
    </xf>
    <xf numFmtId="183" fontId="0" fillId="0" borderId="10" xfId="0" applyNumberFormat="1" applyBorder="1" applyProtection="1">
      <alignment vertical="center"/>
      <protection hidden="1"/>
    </xf>
    <xf numFmtId="37" fontId="34" fillId="0" borderId="0" xfId="0" applyNumberFormat="1" applyFont="1" applyAlignment="1" applyProtection="1">
      <alignment horizontal="right" vertical="center"/>
      <protection hidden="1"/>
    </xf>
    <xf numFmtId="0" fontId="34" fillId="0" borderId="0" xfId="0" applyFont="1" applyAlignment="1" applyProtection="1">
      <alignment horizontal="left" vertical="center"/>
      <protection hidden="1"/>
    </xf>
    <xf numFmtId="0" fontId="54" fillId="0" borderId="62" xfId="0" applyFont="1" applyBorder="1" applyProtection="1">
      <alignment vertical="center"/>
      <protection locked="0"/>
    </xf>
    <xf numFmtId="0" fontId="54" fillId="0" borderId="63" xfId="0" applyFont="1" applyBorder="1" applyProtection="1">
      <alignment vertical="center"/>
      <protection locked="0"/>
    </xf>
    <xf numFmtId="0" fontId="54" fillId="0" borderId="64" xfId="0" applyFont="1" applyBorder="1" applyProtection="1">
      <alignment vertical="center"/>
      <protection locked="0"/>
    </xf>
    <xf numFmtId="183" fontId="47" fillId="0" borderId="10" xfId="0" applyNumberFormat="1" applyFont="1" applyBorder="1" applyProtection="1">
      <alignment vertical="center"/>
      <protection hidden="1"/>
    </xf>
    <xf numFmtId="0" fontId="8" fillId="0" borderId="0" xfId="0" applyFont="1" applyProtection="1">
      <alignment vertical="center"/>
      <protection hidden="1"/>
    </xf>
    <xf numFmtId="3" fontId="71" fillId="0" borderId="61" xfId="0" applyNumberFormat="1" applyFont="1" applyBorder="1" applyAlignment="1" applyProtection="1">
      <alignment horizontal="left" vertical="center"/>
      <protection hidden="1"/>
    </xf>
    <xf numFmtId="3" fontId="71" fillId="0" borderId="17" xfId="0" applyNumberFormat="1" applyFont="1" applyBorder="1" applyAlignment="1" applyProtection="1">
      <alignment horizontal="left" vertical="center"/>
      <protection hidden="1"/>
    </xf>
    <xf numFmtId="3" fontId="72" fillId="0" borderId="0" xfId="0" applyNumberFormat="1" applyFont="1" applyAlignment="1" applyProtection="1">
      <alignment horizontal="left" vertical="center"/>
      <protection hidden="1"/>
    </xf>
    <xf numFmtId="0" fontId="73" fillId="0" borderId="61" xfId="0" applyFont="1" applyBorder="1" applyProtection="1">
      <alignment vertical="center"/>
      <protection hidden="1"/>
    </xf>
    <xf numFmtId="0" fontId="47" fillId="0" borderId="60" xfId="0" applyFont="1" applyBorder="1" applyProtection="1">
      <alignment vertical="center"/>
      <protection hidden="1"/>
    </xf>
    <xf numFmtId="0" fontId="54" fillId="0" borderId="63" xfId="0" applyFont="1" applyBorder="1" applyProtection="1">
      <alignment vertical="center"/>
      <protection hidden="1"/>
    </xf>
    <xf numFmtId="0" fontId="47" fillId="0" borderId="63" xfId="0" applyFont="1" applyBorder="1" applyProtection="1">
      <alignment vertical="center"/>
      <protection hidden="1"/>
    </xf>
    <xf numFmtId="0" fontId="73" fillId="0" borderId="80" xfId="0" applyFont="1" applyBorder="1" applyProtection="1">
      <alignment vertical="center"/>
      <protection hidden="1"/>
    </xf>
    <xf numFmtId="3" fontId="71" fillId="0" borderId="81" xfId="0" applyNumberFormat="1" applyFont="1" applyBorder="1" applyAlignment="1" applyProtection="1">
      <alignment horizontal="left" vertical="center"/>
      <protection hidden="1"/>
    </xf>
    <xf numFmtId="0" fontId="47" fillId="0" borderId="64" xfId="0" applyFont="1" applyBorder="1" applyProtection="1">
      <alignment vertical="center"/>
      <protection hidden="1"/>
    </xf>
    <xf numFmtId="0" fontId="74" fillId="0" borderId="57" xfId="0" applyFont="1" applyBorder="1" applyProtection="1">
      <alignment vertical="center"/>
      <protection hidden="1"/>
    </xf>
    <xf numFmtId="0" fontId="75" fillId="0" borderId="57" xfId="0" applyFont="1" applyBorder="1" applyProtection="1">
      <alignment vertical="center"/>
      <protection hidden="1"/>
    </xf>
    <xf numFmtId="0" fontId="54" fillId="0" borderId="57" xfId="0" applyFont="1" applyBorder="1" applyProtection="1">
      <alignment vertical="center"/>
      <protection hidden="1"/>
    </xf>
    <xf numFmtId="3" fontId="76" fillId="0" borderId="57" xfId="0" applyNumberFormat="1" applyFont="1" applyBorder="1" applyAlignment="1" applyProtection="1">
      <alignment horizontal="left" vertical="center"/>
      <protection hidden="1"/>
    </xf>
    <xf numFmtId="0" fontId="77" fillId="0" borderId="57" xfId="0" applyFont="1" applyBorder="1" applyProtection="1">
      <alignment vertical="center"/>
      <protection hidden="1"/>
    </xf>
    <xf numFmtId="37" fontId="34" fillId="0" borderId="57" xfId="0" applyNumberFormat="1" applyFont="1" applyBorder="1" applyAlignment="1" applyProtection="1">
      <alignment horizontal="left" vertical="center"/>
      <protection hidden="1"/>
    </xf>
    <xf numFmtId="0" fontId="62" fillId="28" borderId="56" xfId="0" applyFont="1" applyFill="1" applyBorder="1" applyProtection="1">
      <alignment vertical="center"/>
      <protection hidden="1"/>
    </xf>
    <xf numFmtId="0" fontId="78" fillId="28" borderId="57" xfId="0" applyFont="1" applyFill="1" applyBorder="1" applyAlignment="1" applyProtection="1">
      <alignment horizontal="right" vertical="center"/>
      <protection hidden="1"/>
    </xf>
    <xf numFmtId="0" fontId="78" fillId="28" borderId="57" xfId="0" applyFont="1" applyFill="1" applyBorder="1" applyProtection="1">
      <alignment vertical="center"/>
      <protection hidden="1"/>
    </xf>
    <xf numFmtId="0" fontId="79" fillId="28" borderId="57" xfId="0" applyFont="1" applyFill="1" applyBorder="1" applyProtection="1">
      <alignment vertical="center"/>
      <protection hidden="1"/>
    </xf>
    <xf numFmtId="0" fontId="46" fillId="0" borderId="59" xfId="0" applyFont="1" applyBorder="1" applyProtection="1">
      <alignment vertical="center"/>
      <protection hidden="1"/>
    </xf>
    <xf numFmtId="183" fontId="70" fillId="0" borderId="0" xfId="0" applyNumberFormat="1" applyFont="1" applyAlignment="1" applyProtection="1">
      <alignment horizontal="center" vertical="center"/>
      <protection hidden="1"/>
    </xf>
    <xf numFmtId="0" fontId="46" fillId="0" borderId="59" xfId="0" applyFont="1" applyBorder="1" applyAlignment="1" applyProtection="1">
      <alignment horizontal="right" vertical="center"/>
      <protection hidden="1"/>
    </xf>
    <xf numFmtId="0" fontId="46" fillId="0" borderId="59" xfId="0" applyFont="1" applyBorder="1" applyAlignment="1" applyProtection="1">
      <alignment horizontal="left" vertical="center"/>
      <protection hidden="1"/>
    </xf>
    <xf numFmtId="0" fontId="82" fillId="0" borderId="0" xfId="0" applyFont="1" applyAlignment="1" applyProtection="1">
      <alignment horizontal="center" vertical="center"/>
      <protection hidden="1"/>
    </xf>
    <xf numFmtId="0" fontId="54" fillId="0" borderId="0" xfId="0" applyFont="1">
      <alignment vertical="center"/>
    </xf>
    <xf numFmtId="0" fontId="29" fillId="0" borderId="60" xfId="0" applyFont="1" applyBorder="1" applyAlignment="1" applyProtection="1">
      <alignment horizontal="right" vertical="center"/>
      <protection hidden="1"/>
    </xf>
    <xf numFmtId="183" fontId="46" fillId="0" borderId="0" xfId="34" applyNumberFormat="1" applyFont="1" applyAlignment="1" applyProtection="1">
      <alignment horizontal="right" vertical="center"/>
      <protection hidden="1"/>
    </xf>
    <xf numFmtId="183" fontId="46" fillId="0" borderId="0" xfId="34" applyNumberFormat="1" applyFont="1" applyAlignment="1" applyProtection="1">
      <alignment horizontal="right" vertical="top"/>
      <protection hidden="1"/>
    </xf>
    <xf numFmtId="0" fontId="65" fillId="0" borderId="0" xfId="0" applyFont="1" applyAlignment="1" applyProtection="1">
      <alignment horizontal="left"/>
      <protection hidden="1"/>
    </xf>
    <xf numFmtId="0" fontId="54" fillId="0" borderId="62" xfId="0" applyFont="1" applyBorder="1" applyProtection="1">
      <alignment vertical="center"/>
      <protection hidden="1"/>
    </xf>
    <xf numFmtId="0" fontId="65" fillId="0" borderId="63" xfId="0" applyFont="1" applyBorder="1" applyAlignment="1" applyProtection="1">
      <alignment horizontal="left" vertical="top"/>
      <protection hidden="1"/>
    </xf>
    <xf numFmtId="0" fontId="54" fillId="0" borderId="64" xfId="0" applyFont="1" applyBorder="1" applyProtection="1">
      <alignment vertical="center"/>
      <protection hidden="1"/>
    </xf>
    <xf numFmtId="0" fontId="62" fillId="28" borderId="65" xfId="0" applyFont="1" applyFill="1" applyBorder="1" applyProtection="1">
      <alignment vertical="center"/>
      <protection hidden="1"/>
    </xf>
    <xf numFmtId="0" fontId="83" fillId="28" borderId="66" xfId="0" applyFont="1" applyFill="1" applyBorder="1" applyProtection="1">
      <alignment vertical="center"/>
      <protection hidden="1"/>
    </xf>
    <xf numFmtId="0" fontId="83" fillId="28" borderId="66" xfId="0" applyFont="1" applyFill="1" applyBorder="1" applyAlignment="1" applyProtection="1">
      <alignment horizontal="right" vertical="center"/>
      <protection hidden="1"/>
    </xf>
    <xf numFmtId="0" fontId="84" fillId="28" borderId="66" xfId="0" applyFont="1" applyFill="1" applyBorder="1" applyAlignment="1" applyProtection="1">
      <alignment horizontal="right" vertical="top"/>
      <protection hidden="1"/>
    </xf>
    <xf numFmtId="0" fontId="58" fillId="28" borderId="66" xfId="0" applyFont="1" applyFill="1" applyBorder="1" applyAlignment="1" applyProtection="1">
      <alignment horizontal="center" vertical="center"/>
      <protection hidden="1"/>
    </xf>
    <xf numFmtId="0" fontId="65" fillId="28" borderId="66" xfId="0" applyFont="1" applyFill="1" applyBorder="1" applyProtection="1">
      <alignment vertical="center"/>
      <protection hidden="1"/>
    </xf>
    <xf numFmtId="0" fontId="84" fillId="28" borderId="68" xfId="0" applyFont="1" applyFill="1" applyBorder="1" applyAlignment="1" applyProtection="1">
      <alignment horizontal="right" vertical="center"/>
      <protection hidden="1"/>
    </xf>
    <xf numFmtId="0" fontId="54" fillId="0" borderId="0" xfId="0" quotePrefix="1" applyFont="1" applyProtection="1">
      <alignment vertical="center"/>
      <protection hidden="1"/>
    </xf>
    <xf numFmtId="0" fontId="65" fillId="0" borderId="59" xfId="0" applyFont="1" applyBorder="1" applyProtection="1">
      <alignment vertical="center"/>
      <protection hidden="1"/>
    </xf>
    <xf numFmtId="0" fontId="35"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35" fillId="0" borderId="59" xfId="0" applyFont="1" applyBorder="1" applyProtection="1">
      <alignment vertical="center"/>
      <protection hidden="1"/>
    </xf>
    <xf numFmtId="176" fontId="54" fillId="0" borderId="0" xfId="0" applyNumberFormat="1" applyFont="1" applyProtection="1">
      <alignment vertical="center"/>
      <protection hidden="1"/>
    </xf>
    <xf numFmtId="0" fontId="35" fillId="0" borderId="62" xfId="0" applyFont="1" applyBorder="1" applyProtection="1">
      <alignment vertical="center"/>
      <protection hidden="1"/>
    </xf>
    <xf numFmtId="0" fontId="35" fillId="0" borderId="63" xfId="0" applyFont="1" applyBorder="1" applyProtection="1">
      <alignment vertical="center"/>
      <protection hidden="1"/>
    </xf>
    <xf numFmtId="0" fontId="35" fillId="0" borderId="63" xfId="0" applyFont="1" applyBorder="1" applyAlignment="1" applyProtection="1">
      <alignment horizontal="right" vertical="center"/>
      <protection hidden="1"/>
    </xf>
    <xf numFmtId="0" fontId="58" fillId="0" borderId="63" xfId="0" applyFont="1" applyBorder="1" applyProtection="1">
      <alignment vertical="center"/>
      <protection hidden="1"/>
    </xf>
    <xf numFmtId="0" fontId="65" fillId="0" borderId="63" xfId="0" applyFont="1" applyBorder="1" applyProtection="1">
      <alignment vertical="center"/>
      <protection hidden="1"/>
    </xf>
    <xf numFmtId="0" fontId="65" fillId="0" borderId="64" xfId="0" applyFont="1" applyBorder="1" applyProtection="1">
      <alignment vertical="center"/>
      <protection hidden="1"/>
    </xf>
    <xf numFmtId="0" fontId="77" fillId="0" borderId="0" xfId="0" applyFont="1" applyProtection="1">
      <alignment vertical="center"/>
      <protection hidden="1"/>
    </xf>
    <xf numFmtId="0" fontId="28" fillId="0" borderId="0" xfId="0" applyFont="1" applyAlignment="1" applyProtection="1">
      <alignment horizontal="right" vertical="center"/>
      <protection hidden="1"/>
    </xf>
    <xf numFmtId="0" fontId="47" fillId="0" borderId="0" xfId="0" applyFont="1" applyAlignment="1" applyProtection="1">
      <alignment horizontal="right"/>
      <protection hidden="1"/>
    </xf>
    <xf numFmtId="0" fontId="83" fillId="28" borderId="57" xfId="0" applyFont="1" applyFill="1" applyBorder="1" applyProtection="1">
      <alignment vertical="center"/>
      <protection hidden="1"/>
    </xf>
    <xf numFmtId="0" fontId="83" fillId="28" borderId="57" xfId="0" applyFont="1" applyFill="1" applyBorder="1" applyAlignment="1" applyProtection="1">
      <alignment horizontal="right" vertical="center"/>
      <protection hidden="1"/>
    </xf>
    <xf numFmtId="0" fontId="87" fillId="28" borderId="57" xfId="0" applyFont="1" applyFill="1" applyBorder="1" applyAlignment="1" applyProtection="1">
      <alignment horizontal="right" vertical="top"/>
      <protection hidden="1"/>
    </xf>
    <xf numFmtId="0" fontId="58" fillId="28" borderId="57" xfId="0" applyFont="1" applyFill="1" applyBorder="1" applyAlignment="1" applyProtection="1">
      <alignment horizontal="center" vertical="center"/>
      <protection hidden="1"/>
    </xf>
    <xf numFmtId="0" fontId="65" fillId="28" borderId="57" xfId="0" applyFont="1" applyFill="1" applyBorder="1" applyProtection="1">
      <alignment vertical="center"/>
      <protection hidden="1"/>
    </xf>
    <xf numFmtId="0" fontId="87" fillId="28" borderId="58" xfId="0" applyFont="1" applyFill="1" applyBorder="1" applyAlignment="1" applyProtection="1">
      <alignment horizontal="right" vertical="center"/>
      <protection hidden="1"/>
    </xf>
    <xf numFmtId="0" fontId="6" fillId="31" borderId="82" xfId="0" applyFont="1" applyFill="1" applyBorder="1" applyProtection="1">
      <alignment vertical="center"/>
      <protection hidden="1"/>
    </xf>
    <xf numFmtId="0" fontId="83" fillId="31" borderId="50" xfId="0" applyFont="1" applyFill="1" applyBorder="1" applyProtection="1">
      <alignment vertical="center"/>
      <protection hidden="1"/>
    </xf>
    <xf numFmtId="0" fontId="83" fillId="31" borderId="50" xfId="0" applyFont="1" applyFill="1" applyBorder="1" applyAlignment="1" applyProtection="1">
      <alignment horizontal="right" vertical="center"/>
      <protection hidden="1"/>
    </xf>
    <xf numFmtId="0" fontId="6" fillId="31" borderId="50" xfId="0" applyFont="1" applyFill="1" applyBorder="1" applyProtection="1">
      <alignment vertical="center"/>
      <protection hidden="1"/>
    </xf>
    <xf numFmtId="0" fontId="88" fillId="31" borderId="50" xfId="0" applyFont="1" applyFill="1" applyBorder="1" applyAlignment="1" applyProtection="1">
      <alignment horizontal="center" vertical="center"/>
      <protection hidden="1"/>
    </xf>
    <xf numFmtId="0" fontId="88" fillId="31" borderId="83" xfId="0" applyFont="1" applyFill="1" applyBorder="1" applyAlignment="1" applyProtection="1">
      <alignment horizontal="center" vertical="center"/>
      <protection hidden="1"/>
    </xf>
    <xf numFmtId="187" fontId="47" fillId="0" borderId="0" xfId="0" applyNumberFormat="1" applyFont="1" applyProtection="1">
      <alignment vertical="center"/>
      <protection hidden="1"/>
    </xf>
    <xf numFmtId="0" fontId="89" fillId="31" borderId="82" xfId="0" applyFont="1" applyFill="1" applyBorder="1" applyProtection="1">
      <alignment vertical="center"/>
      <protection hidden="1"/>
    </xf>
    <xf numFmtId="0" fontId="88" fillId="31" borderId="51" xfId="0" applyFont="1" applyFill="1" applyBorder="1" applyAlignment="1" applyProtection="1">
      <alignment horizontal="center" vertical="center"/>
      <protection hidden="1"/>
    </xf>
    <xf numFmtId="0" fontId="89" fillId="31" borderId="61" xfId="0" applyFont="1" applyFill="1" applyBorder="1">
      <alignment vertical="center"/>
    </xf>
    <xf numFmtId="0" fontId="88" fillId="31" borderId="0" xfId="0" applyFont="1" applyFill="1" applyAlignment="1" applyProtection="1">
      <alignment horizontal="center" vertical="center"/>
      <protection hidden="1"/>
    </xf>
    <xf numFmtId="0" fontId="88" fillId="31" borderId="17" xfId="0" applyFont="1" applyFill="1" applyBorder="1" applyAlignment="1" applyProtection="1">
      <alignment horizontal="center" vertical="center"/>
      <protection hidden="1"/>
    </xf>
    <xf numFmtId="0" fontId="89" fillId="31" borderId="49" xfId="0" applyFont="1" applyFill="1" applyBorder="1">
      <alignment vertical="center"/>
    </xf>
    <xf numFmtId="0" fontId="88" fillId="31" borderId="0" xfId="0" applyFont="1" applyFill="1" applyAlignment="1" applyProtection="1">
      <alignment horizontal="left" vertical="center"/>
      <protection hidden="1"/>
    </xf>
    <xf numFmtId="0" fontId="83" fillId="31" borderId="0" xfId="0" applyFont="1" applyFill="1" applyAlignment="1" applyProtection="1">
      <alignment horizontal="right" vertical="center"/>
      <protection hidden="1"/>
    </xf>
    <xf numFmtId="0" fontId="83" fillId="31" borderId="60" xfId="0" applyFont="1" applyFill="1" applyBorder="1" applyAlignment="1" applyProtection="1">
      <alignment horizontal="right" vertical="center"/>
      <protection hidden="1"/>
    </xf>
    <xf numFmtId="0" fontId="89" fillId="31" borderId="82" xfId="0" applyFont="1" applyFill="1" applyBorder="1">
      <alignment vertical="center"/>
    </xf>
    <xf numFmtId="0" fontId="88" fillId="31" borderId="50" xfId="0" applyFont="1" applyFill="1" applyBorder="1" applyAlignment="1" applyProtection="1">
      <alignment horizontal="left" vertical="center"/>
      <protection hidden="1"/>
    </xf>
    <xf numFmtId="0" fontId="83" fillId="31" borderId="51" xfId="0" applyFont="1" applyFill="1" applyBorder="1" applyAlignment="1" applyProtection="1">
      <alignment horizontal="right" vertical="center"/>
      <protection hidden="1"/>
    </xf>
    <xf numFmtId="0" fontId="89" fillId="31" borderId="0" xfId="0" applyFont="1" applyFill="1">
      <alignment vertical="center"/>
    </xf>
    <xf numFmtId="0" fontId="83" fillId="31" borderId="83" xfId="0" applyFont="1" applyFill="1" applyBorder="1" applyAlignment="1" applyProtection="1">
      <alignment horizontal="right" vertical="center"/>
      <protection hidden="1"/>
    </xf>
    <xf numFmtId="0" fontId="61" fillId="32" borderId="65" xfId="0" applyFont="1" applyFill="1" applyBorder="1" applyProtection="1">
      <alignment vertical="center"/>
      <protection hidden="1"/>
    </xf>
    <xf numFmtId="0" fontId="83" fillId="32" borderId="66" xfId="0" applyFont="1" applyFill="1" applyBorder="1" applyProtection="1">
      <alignment vertical="center"/>
      <protection hidden="1"/>
    </xf>
    <xf numFmtId="0" fontId="83" fillId="32" borderId="66" xfId="0" applyFont="1" applyFill="1" applyBorder="1" applyAlignment="1" applyProtection="1">
      <alignment horizontal="right" vertical="center"/>
      <protection hidden="1"/>
    </xf>
    <xf numFmtId="0" fontId="84" fillId="32" borderId="66" xfId="0" applyFont="1" applyFill="1" applyBorder="1" applyAlignment="1" applyProtection="1">
      <alignment vertical="top"/>
      <protection hidden="1"/>
    </xf>
    <xf numFmtId="0" fontId="65" fillId="32" borderId="66" xfId="0" applyFont="1" applyFill="1" applyBorder="1" applyProtection="1">
      <alignment vertical="center"/>
      <protection hidden="1"/>
    </xf>
    <xf numFmtId="0" fontId="87" fillId="32" borderId="66" xfId="0" applyFont="1" applyFill="1" applyBorder="1" applyProtection="1">
      <alignment vertical="center"/>
      <protection hidden="1"/>
    </xf>
    <xf numFmtId="0" fontId="84" fillId="32" borderId="68" xfId="0" applyFont="1" applyFill="1" applyBorder="1" applyAlignment="1" applyProtection="1">
      <alignment horizontal="right" vertical="center"/>
      <protection hidden="1"/>
    </xf>
    <xf numFmtId="0" fontId="61" fillId="33" borderId="56" xfId="0" applyFont="1" applyFill="1" applyBorder="1" applyProtection="1">
      <alignment vertical="center"/>
      <protection hidden="1"/>
    </xf>
    <xf numFmtId="0" fontId="83" fillId="33" borderId="57" xfId="0" applyFont="1" applyFill="1" applyBorder="1" applyProtection="1">
      <alignment vertical="center"/>
      <protection hidden="1"/>
    </xf>
    <xf numFmtId="0" fontId="83" fillId="33" borderId="57" xfId="0" applyFont="1" applyFill="1" applyBorder="1" applyAlignment="1" applyProtection="1">
      <alignment horizontal="right" vertical="center"/>
      <protection hidden="1"/>
    </xf>
    <xf numFmtId="0" fontId="87" fillId="33" borderId="57" xfId="0" applyFont="1" applyFill="1" applyBorder="1" applyProtection="1">
      <alignment vertical="center"/>
      <protection hidden="1"/>
    </xf>
    <xf numFmtId="0" fontId="4" fillId="33" borderId="57" xfId="0" applyFont="1" applyFill="1" applyBorder="1" applyProtection="1">
      <alignment vertical="center"/>
      <protection hidden="1"/>
    </xf>
    <xf numFmtId="0" fontId="65" fillId="33" borderId="57" xfId="0" applyFont="1" applyFill="1" applyBorder="1" applyProtection="1">
      <alignment vertical="center"/>
      <protection hidden="1"/>
    </xf>
    <xf numFmtId="0" fontId="4" fillId="33" borderId="58" xfId="0" applyFont="1" applyFill="1" applyBorder="1" applyAlignment="1" applyProtection="1">
      <alignment horizontal="right" vertical="center"/>
      <protection hidden="1"/>
    </xf>
    <xf numFmtId="0" fontId="57" fillId="34" borderId="56" xfId="0" applyFont="1" applyFill="1" applyBorder="1" applyAlignment="1" applyProtection="1">
      <alignment horizontal="left" vertical="center"/>
      <protection hidden="1"/>
    </xf>
    <xf numFmtId="0" fontId="57" fillId="34" borderId="57" xfId="0" applyFont="1" applyFill="1" applyBorder="1" applyAlignment="1" applyProtection="1">
      <alignment horizontal="left" vertical="center"/>
      <protection hidden="1"/>
    </xf>
    <xf numFmtId="0" fontId="57" fillId="34" borderId="57" xfId="0" applyFont="1" applyFill="1" applyBorder="1" applyAlignment="1" applyProtection="1">
      <alignment horizontal="right" vertical="center"/>
      <protection hidden="1"/>
    </xf>
    <xf numFmtId="0" fontId="38" fillId="29" borderId="57" xfId="0" applyFont="1" applyFill="1" applyBorder="1" applyProtection="1">
      <alignment vertical="center"/>
      <protection hidden="1"/>
    </xf>
    <xf numFmtId="0" fontId="35" fillId="29" borderId="57" xfId="0" applyFont="1" applyFill="1" applyBorder="1" applyProtection="1">
      <alignment vertical="center"/>
      <protection hidden="1"/>
    </xf>
    <xf numFmtId="0" fontId="65" fillId="29" borderId="57" xfId="0" applyFont="1" applyFill="1" applyBorder="1" applyProtection="1">
      <alignment vertical="center"/>
      <protection hidden="1"/>
    </xf>
    <xf numFmtId="0" fontId="35" fillId="29" borderId="58" xfId="0" applyFont="1" applyFill="1" applyBorder="1" applyAlignment="1" applyProtection="1">
      <alignment horizontal="right" vertical="center"/>
      <protection hidden="1"/>
    </xf>
    <xf numFmtId="0" fontId="57" fillId="34" borderId="59" xfId="0" applyFont="1" applyFill="1" applyBorder="1" applyAlignment="1" applyProtection="1">
      <alignment horizontal="left" vertical="center"/>
      <protection hidden="1"/>
    </xf>
    <xf numFmtId="49" fontId="34" fillId="34" borderId="0" xfId="0" applyNumberFormat="1" applyFont="1" applyFill="1" applyAlignment="1" applyProtection="1">
      <alignment horizontal="left" vertical="center"/>
      <protection hidden="1"/>
    </xf>
    <xf numFmtId="49" fontId="35" fillId="34" borderId="0" xfId="0" applyNumberFormat="1" applyFont="1" applyFill="1" applyAlignment="1" applyProtection="1">
      <alignment horizontal="right" vertical="center"/>
      <protection hidden="1"/>
    </xf>
    <xf numFmtId="49" fontId="28" fillId="24" borderId="0" xfId="0" applyNumberFormat="1" applyFont="1" applyFill="1" applyAlignment="1" applyProtection="1">
      <alignment horizontal="left" vertical="center"/>
      <protection locked="0"/>
    </xf>
    <xf numFmtId="49" fontId="34"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left" vertical="center"/>
      <protection hidden="1"/>
    </xf>
    <xf numFmtId="49" fontId="28" fillId="24" borderId="0" xfId="0" applyNumberFormat="1" applyFont="1" applyFill="1" applyAlignment="1" applyProtection="1">
      <alignment horizontal="right" vertical="center"/>
      <protection locked="0"/>
    </xf>
    <xf numFmtId="0" fontId="35" fillId="24" borderId="0" xfId="0" applyFont="1" applyFill="1" applyAlignment="1" applyProtection="1">
      <alignment horizontal="center" vertical="center"/>
      <protection locked="0"/>
    </xf>
    <xf numFmtId="0" fontId="35" fillId="0" borderId="0" xfId="0"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9" fontId="28" fillId="0" borderId="60" xfId="0" applyNumberFormat="1" applyFont="1" applyBorder="1" applyAlignment="1" applyProtection="1">
      <alignment horizontal="left" vertical="center"/>
      <protection hidden="1"/>
    </xf>
    <xf numFmtId="0" fontId="34" fillId="34" borderId="0" xfId="0" applyFont="1" applyFill="1" applyProtection="1">
      <alignment vertical="center"/>
      <protection hidden="1"/>
    </xf>
    <xf numFmtId="0" fontId="35" fillId="34" borderId="0" xfId="0" applyFont="1" applyFill="1" applyAlignment="1" applyProtection="1">
      <alignment horizontal="right" vertical="center"/>
      <protection hidden="1"/>
    </xf>
    <xf numFmtId="0" fontId="35" fillId="24" borderId="0" xfId="0" applyFont="1" applyFill="1" applyProtection="1">
      <alignment vertical="center"/>
      <protection locked="0"/>
    </xf>
    <xf numFmtId="0" fontId="35" fillId="24" borderId="0" xfId="0" applyFont="1" applyFill="1" applyAlignment="1" applyProtection="1">
      <alignment horizontal="right" vertical="center"/>
      <protection locked="0"/>
    </xf>
    <xf numFmtId="0" fontId="35" fillId="0" borderId="60" xfId="0" applyFont="1" applyBorder="1" applyProtection="1">
      <alignment vertical="center"/>
      <protection hidden="1"/>
    </xf>
    <xf numFmtId="0" fontId="80" fillId="0" borderId="0" xfId="0" applyFont="1" applyProtection="1">
      <alignment vertical="center"/>
      <protection hidden="1"/>
    </xf>
    <xf numFmtId="0" fontId="80" fillId="34" borderId="59" xfId="0" applyFont="1" applyFill="1" applyBorder="1" applyProtection="1">
      <alignment vertical="center"/>
      <protection hidden="1"/>
    </xf>
    <xf numFmtId="0" fontId="34" fillId="34" borderId="0" xfId="0" applyFont="1" applyFill="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35" fillId="34" borderId="0" xfId="0" applyFont="1" applyFill="1" applyAlignment="1" applyProtection="1">
      <alignment horizontal="left" vertical="center"/>
      <protection hidden="1"/>
    </xf>
    <xf numFmtId="49" fontId="35" fillId="0" borderId="60" xfId="0" applyNumberFormat="1" applyFont="1" applyBorder="1" applyAlignment="1" applyProtection="1">
      <alignment horizontal="left" vertical="center"/>
      <protection hidden="1"/>
    </xf>
    <xf numFmtId="0" fontId="34" fillId="0" borderId="0" xfId="0" applyFont="1" applyProtection="1">
      <alignment vertical="center"/>
      <protection hidden="1"/>
    </xf>
    <xf numFmtId="0" fontId="57" fillId="34" borderId="62" xfId="0" applyFont="1" applyFill="1" applyBorder="1" applyAlignment="1" applyProtection="1">
      <alignment horizontal="left" vertical="center"/>
      <protection hidden="1"/>
    </xf>
    <xf numFmtId="0" fontId="35" fillId="24" borderId="63" xfId="0" applyFont="1" applyFill="1" applyBorder="1" applyAlignment="1" applyProtection="1">
      <alignment horizontal="left" vertical="center"/>
      <protection locked="0"/>
    </xf>
    <xf numFmtId="0" fontId="35" fillId="34" borderId="63" xfId="0" applyFont="1" applyFill="1" applyBorder="1" applyAlignment="1" applyProtection="1">
      <alignment horizontal="right" vertical="center"/>
      <protection hidden="1"/>
    </xf>
    <xf numFmtId="0" fontId="35" fillId="24" borderId="63" xfId="0" applyFont="1" applyFill="1" applyBorder="1" applyProtection="1">
      <alignment vertical="center"/>
      <protection locked="0"/>
    </xf>
    <xf numFmtId="0" fontId="34" fillId="0" borderId="63" xfId="0" applyFont="1" applyBorder="1" applyProtection="1">
      <alignment vertical="center"/>
      <protection hidden="1"/>
    </xf>
    <xf numFmtId="0" fontId="35" fillId="24" borderId="63" xfId="0" applyFont="1" applyFill="1" applyBorder="1" applyAlignment="1" applyProtection="1">
      <alignment horizontal="right" vertical="center"/>
      <protection locked="0"/>
    </xf>
    <xf numFmtId="0" fontId="35" fillId="0" borderId="63" xfId="0" applyFont="1" applyBorder="1" applyAlignment="1" applyProtection="1">
      <alignment horizontal="center" vertical="center"/>
      <protection hidden="1"/>
    </xf>
    <xf numFmtId="0" fontId="35" fillId="0" borderId="64" xfId="0" applyFont="1" applyBorder="1" applyProtection="1">
      <alignment vertical="center"/>
      <protection hidden="1"/>
    </xf>
    <xf numFmtId="0" fontId="61" fillId="33" borderId="65" xfId="0" applyFont="1" applyFill="1" applyBorder="1" applyAlignment="1" applyProtection="1">
      <alignment horizontal="left" vertical="center"/>
      <protection hidden="1"/>
    </xf>
    <xf numFmtId="0" fontId="87" fillId="33" borderId="66" xfId="0" applyFont="1" applyFill="1" applyBorder="1" applyAlignment="1" applyProtection="1">
      <alignment horizontal="left" vertical="center"/>
      <protection hidden="1"/>
    </xf>
    <xf numFmtId="0" fontId="87" fillId="33" borderId="66" xfId="0" applyFont="1" applyFill="1" applyBorder="1" applyAlignment="1" applyProtection="1">
      <alignment horizontal="right" vertical="center"/>
      <protection hidden="1"/>
    </xf>
    <xf numFmtId="0" fontId="87" fillId="33" borderId="66" xfId="0" applyFont="1" applyFill="1" applyBorder="1" applyProtection="1">
      <alignment vertical="center"/>
      <protection hidden="1"/>
    </xf>
    <xf numFmtId="0" fontId="92" fillId="33" borderId="66" xfId="0" applyFont="1" applyFill="1" applyBorder="1" applyProtection="1">
      <alignment vertical="center"/>
      <protection hidden="1"/>
    </xf>
    <xf numFmtId="0" fontId="92" fillId="33" borderId="68" xfId="0" applyFont="1" applyFill="1" applyBorder="1" applyProtection="1">
      <alignment vertical="center"/>
      <protection hidden="1"/>
    </xf>
    <xf numFmtId="0" fontId="6" fillId="30" borderId="56" xfId="0" applyFont="1" applyFill="1" applyBorder="1" applyProtection="1">
      <alignment vertical="center"/>
      <protection hidden="1"/>
    </xf>
    <xf numFmtId="0" fontId="88" fillId="30" borderId="57" xfId="0" applyFont="1" applyFill="1" applyBorder="1" applyProtection="1">
      <alignment vertical="center"/>
      <protection hidden="1"/>
    </xf>
    <xf numFmtId="0" fontId="88" fillId="30" borderId="57" xfId="0" applyFont="1" applyFill="1" applyBorder="1" applyAlignment="1" applyProtection="1">
      <alignment horizontal="right" vertical="center"/>
      <protection hidden="1"/>
    </xf>
    <xf numFmtId="181" fontId="62" fillId="30" borderId="57" xfId="0" applyNumberFormat="1" applyFont="1" applyFill="1" applyBorder="1" applyAlignment="1" applyProtection="1">
      <alignment horizontal="center" vertical="center"/>
      <protection hidden="1"/>
    </xf>
    <xf numFmtId="0" fontId="80" fillId="30" borderId="57" xfId="0" applyFont="1" applyFill="1" applyBorder="1" applyProtection="1">
      <alignment vertical="center"/>
      <protection hidden="1"/>
    </xf>
    <xf numFmtId="0" fontId="6" fillId="30" borderId="84" xfId="0" applyFont="1" applyFill="1" applyBorder="1" applyProtection="1">
      <alignment vertical="center"/>
      <protection hidden="1"/>
    </xf>
    <xf numFmtId="0" fontId="62" fillId="30" borderId="57" xfId="0" applyFont="1" applyFill="1" applyBorder="1" applyProtection="1">
      <alignment vertical="center"/>
      <protection hidden="1"/>
    </xf>
    <xf numFmtId="0" fontId="62" fillId="30" borderId="57" xfId="0" applyFont="1" applyFill="1" applyBorder="1" applyAlignment="1" applyProtection="1">
      <alignment horizontal="right" vertical="center"/>
      <protection hidden="1"/>
    </xf>
    <xf numFmtId="0" fontId="88" fillId="30" borderId="58" xfId="0" applyFont="1" applyFill="1" applyBorder="1" applyProtection="1">
      <alignment vertical="center"/>
      <protection hidden="1"/>
    </xf>
    <xf numFmtId="0" fontId="65" fillId="0" borderId="59" xfId="0" applyFont="1" applyBorder="1" applyAlignment="1" applyProtection="1">
      <alignment horizontal="left" vertical="center"/>
      <protection hidden="1"/>
    </xf>
    <xf numFmtId="0" fontId="93" fillId="24" borderId="0" xfId="0" applyFont="1" applyFill="1" applyAlignment="1" applyProtection="1">
      <alignment horizontal="left" vertical="center"/>
      <protection locked="0"/>
    </xf>
    <xf numFmtId="0" fontId="94" fillId="0" borderId="0" xfId="0" applyFont="1" applyAlignment="1" applyProtection="1">
      <alignment horizontal="right" vertical="center"/>
      <protection hidden="1"/>
    </xf>
    <xf numFmtId="0" fontId="93" fillId="24" borderId="61" xfId="0" applyFont="1" applyFill="1" applyBorder="1" applyAlignment="1" applyProtection="1">
      <alignment horizontal="left" vertical="center"/>
      <protection locked="0"/>
    </xf>
    <xf numFmtId="0" fontId="81" fillId="0" borderId="0" xfId="0" applyFont="1" applyProtection="1">
      <alignment vertical="center"/>
      <protection hidden="1"/>
    </xf>
    <xf numFmtId="0" fontId="65" fillId="0" borderId="62" xfId="0" applyFont="1" applyBorder="1" applyAlignment="1" applyProtection="1">
      <alignment horizontal="left" vertical="center"/>
      <protection hidden="1"/>
    </xf>
    <xf numFmtId="0" fontId="94" fillId="24" borderId="63" xfId="0" applyFont="1" applyFill="1" applyBorder="1" applyAlignment="1" applyProtection="1">
      <alignment horizontal="left" vertical="center"/>
      <protection locked="0"/>
    </xf>
    <xf numFmtId="0" fontId="94" fillId="0" borderId="63" xfId="0" applyFont="1" applyBorder="1" applyAlignment="1" applyProtection="1">
      <alignment horizontal="right" vertical="center"/>
      <protection hidden="1"/>
    </xf>
    <xf numFmtId="0" fontId="94" fillId="24" borderId="80" xfId="0" applyFont="1" applyFill="1" applyBorder="1" applyAlignment="1" applyProtection="1">
      <alignment horizontal="left" vertical="center"/>
      <protection locked="0"/>
    </xf>
    <xf numFmtId="0" fontId="40" fillId="0" borderId="63" xfId="0" applyFont="1" applyBorder="1" applyAlignment="1" applyProtection="1">
      <alignment horizontal="left" vertical="top"/>
      <protection hidden="1"/>
    </xf>
    <xf numFmtId="0" fontId="40" fillId="0" borderId="64" xfId="0" applyFont="1" applyBorder="1" applyAlignment="1" applyProtection="1">
      <alignment horizontal="left" vertical="top"/>
      <protection hidden="1"/>
    </xf>
    <xf numFmtId="0" fontId="95" fillId="0" borderId="49" xfId="0" quotePrefix="1" applyFont="1" applyBorder="1" applyAlignment="1" applyProtection="1">
      <alignment horizontal="left" vertical="center"/>
      <protection hidden="1"/>
    </xf>
    <xf numFmtId="0" fontId="96" fillId="0" borderId="50" xfId="0" applyFont="1" applyBorder="1" applyAlignment="1" applyProtection="1">
      <alignment horizontal="right" vertical="center"/>
      <protection hidden="1"/>
    </xf>
    <xf numFmtId="0" fontId="57" fillId="0" borderId="50" xfId="0" applyFont="1" applyBorder="1" applyAlignment="1" applyProtection="1">
      <alignment horizontal="right" vertical="center"/>
      <protection hidden="1"/>
    </xf>
    <xf numFmtId="0" fontId="96" fillId="0" borderId="50" xfId="0" quotePrefix="1" applyFont="1" applyBorder="1" applyAlignment="1" applyProtection="1">
      <alignment horizontal="left" vertical="center"/>
      <protection hidden="1"/>
    </xf>
    <xf numFmtId="0" fontId="54" fillId="0" borderId="50" xfId="0" applyFont="1" applyBorder="1" applyProtection="1">
      <alignment vertical="center"/>
      <protection hidden="1"/>
    </xf>
    <xf numFmtId="0" fontId="96" fillId="0" borderId="50" xfId="0" quotePrefix="1" applyFont="1" applyBorder="1" applyAlignment="1" applyProtection="1">
      <alignment horizontal="center" vertical="center"/>
      <protection hidden="1"/>
    </xf>
    <xf numFmtId="0" fontId="96" fillId="0" borderId="50" xfId="0" applyFont="1" applyBorder="1" applyAlignment="1" applyProtection="1">
      <alignment horizontal="center" vertical="center"/>
      <protection hidden="1"/>
    </xf>
    <xf numFmtId="0" fontId="96" fillId="0" borderId="50" xfId="0" applyFont="1" applyBorder="1" applyProtection="1">
      <alignment vertical="center"/>
      <protection hidden="1"/>
    </xf>
    <xf numFmtId="0" fontId="96" fillId="0" borderId="51" xfId="0" applyFont="1" applyBorder="1" applyProtection="1">
      <alignment vertical="center"/>
      <protection hidden="1"/>
    </xf>
    <xf numFmtId="0" fontId="95" fillId="0" borderId="61" xfId="0" quotePrefix="1" applyFont="1" applyBorder="1" applyAlignment="1" applyProtection="1">
      <alignment horizontal="left" vertical="center"/>
      <protection hidden="1"/>
    </xf>
    <xf numFmtId="0" fontId="97" fillId="0" borderId="0" xfId="0" applyFont="1" applyAlignment="1" applyProtection="1">
      <alignment horizontal="right" vertical="center"/>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right" vertical="center"/>
      <protection hidden="1"/>
    </xf>
    <xf numFmtId="0" fontId="96" fillId="0" borderId="17" xfId="0" applyFont="1" applyBorder="1" applyAlignment="1" applyProtection="1">
      <alignment horizontal="right" vertical="center"/>
      <protection hidden="1"/>
    </xf>
    <xf numFmtId="0" fontId="97" fillId="0" borderId="0" xfId="0" applyFont="1" applyAlignment="1" applyProtection="1">
      <alignment horizontal="left" vertical="center"/>
      <protection hidden="1"/>
    </xf>
    <xf numFmtId="0" fontId="97" fillId="0" borderId="0" xfId="0" quotePrefix="1"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98" fillId="0" borderId="0" xfId="0" quotePrefix="1"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65" fillId="0" borderId="17" xfId="0" applyFont="1" applyBorder="1" applyProtection="1">
      <alignment vertical="center"/>
      <protection hidden="1"/>
    </xf>
    <xf numFmtId="177" fontId="54" fillId="0" borderId="0" xfId="0" applyNumberFormat="1" applyFont="1" applyProtection="1">
      <alignment vertical="center"/>
      <protection hidden="1"/>
    </xf>
    <xf numFmtId="0" fontId="57" fillId="0" borderId="61" xfId="0" applyFont="1" applyBorder="1" applyAlignment="1" applyProtection="1">
      <alignment horizontal="left" vertical="center"/>
      <protection hidden="1"/>
    </xf>
    <xf numFmtId="0" fontId="98" fillId="0" borderId="0" xfId="0" applyFont="1" applyProtection="1">
      <alignment vertical="center"/>
      <protection hidden="1"/>
    </xf>
    <xf numFmtId="0" fontId="57" fillId="0" borderId="53" xfId="0" applyFont="1" applyBorder="1" applyAlignment="1" applyProtection="1">
      <alignment horizontal="left" vertical="center"/>
      <protection hidden="1"/>
    </xf>
    <xf numFmtId="0" fontId="97" fillId="0" borderId="54" xfId="0" applyFont="1" applyBorder="1" applyAlignment="1" applyProtection="1">
      <alignment horizontal="right" vertical="center"/>
      <protection hidden="1"/>
    </xf>
    <xf numFmtId="0" fontId="97" fillId="0" borderId="54" xfId="0" applyFont="1" applyBorder="1" applyAlignment="1" applyProtection="1">
      <alignment horizontal="left" vertical="center"/>
      <protection hidden="1"/>
    </xf>
    <xf numFmtId="0" fontId="57" fillId="0" borderId="54" xfId="0" applyFont="1" applyBorder="1" applyProtection="1">
      <alignment vertical="center"/>
      <protection hidden="1"/>
    </xf>
    <xf numFmtId="0" fontId="58" fillId="0" borderId="54" xfId="0" applyFont="1" applyBorder="1" applyProtection="1">
      <alignment vertical="center"/>
      <protection hidden="1"/>
    </xf>
    <xf numFmtId="0" fontId="98" fillId="0" borderId="54" xfId="0" applyFont="1" applyBorder="1" applyProtection="1">
      <alignment vertical="center"/>
      <protection hidden="1"/>
    </xf>
    <xf numFmtId="0" fontId="58" fillId="0" borderId="54" xfId="0" applyFont="1" applyBorder="1" applyAlignment="1" applyProtection="1">
      <alignment horizontal="center" vertical="center"/>
      <protection hidden="1"/>
    </xf>
    <xf numFmtId="0" fontId="65" fillId="0" borderId="54" xfId="0" applyFont="1" applyBorder="1" applyProtection="1">
      <alignment vertical="center"/>
      <protection hidden="1"/>
    </xf>
    <xf numFmtId="0" fontId="65" fillId="0" borderId="55" xfId="0" applyFont="1" applyBorder="1" applyProtection="1">
      <alignment vertical="center"/>
      <protection hidden="1"/>
    </xf>
    <xf numFmtId="0" fontId="65" fillId="0" borderId="0" xfId="0" applyFont="1" applyAlignment="1" applyProtection="1">
      <alignment horizontal="left" vertical="center"/>
      <protection hidden="1"/>
    </xf>
    <xf numFmtId="0" fontId="99" fillId="0" borderId="0" xfId="0" quotePrefix="1" applyFont="1" applyAlignment="1" applyProtection="1">
      <alignment horizontal="left" vertical="center"/>
      <protection hidden="1"/>
    </xf>
    <xf numFmtId="0" fontId="100" fillId="0" borderId="0" xfId="0" quotePrefix="1" applyFont="1" applyAlignment="1" applyProtection="1">
      <alignment horizontal="left" vertical="center"/>
      <protection hidden="1"/>
    </xf>
    <xf numFmtId="0" fontId="100" fillId="0" borderId="0" xfId="0" quotePrefix="1" applyFont="1" applyAlignment="1" applyProtection="1">
      <alignment horizontal="right" vertical="center"/>
      <protection hidden="1"/>
    </xf>
    <xf numFmtId="0" fontId="99" fillId="0" borderId="0" xfId="0" quotePrefix="1" applyFont="1" applyAlignment="1" applyProtection="1">
      <alignment horizontal="right" vertical="center"/>
      <protection hidden="1"/>
    </xf>
    <xf numFmtId="179" fontId="38" fillId="0" borderId="0" xfId="0" applyNumberFormat="1" applyFont="1" applyAlignment="1" applyProtection="1">
      <alignment horizontal="left"/>
      <protection hidden="1"/>
    </xf>
    <xf numFmtId="0" fontId="29" fillId="35" borderId="10" xfId="0" applyFont="1" applyFill="1" applyBorder="1" applyProtection="1">
      <alignment vertical="center"/>
      <protection hidden="1"/>
    </xf>
    <xf numFmtId="0" fontId="38" fillId="0" borderId="0" xfId="0" applyFont="1" applyAlignment="1" applyProtection="1">
      <alignment vertical="top"/>
      <protection hidden="1"/>
    </xf>
    <xf numFmtId="0" fontId="107" fillId="0" borderId="0" xfId="0" applyFont="1">
      <alignment vertical="center"/>
    </xf>
    <xf numFmtId="0" fontId="108" fillId="0" borderId="0" xfId="0" applyFont="1" applyAlignment="1">
      <alignment horizontal="center" vertical="center"/>
    </xf>
    <xf numFmtId="0" fontId="34" fillId="0" borderId="89" xfId="0" applyFont="1" applyBorder="1">
      <alignment vertical="center"/>
    </xf>
    <xf numFmtId="0" fontId="34" fillId="0" borderId="89" xfId="0" applyFont="1" applyBorder="1" applyAlignment="1">
      <alignment horizontal="left" vertical="top" wrapText="1"/>
    </xf>
    <xf numFmtId="3" fontId="28" fillId="0" borderId="0" xfId="0" applyNumberFormat="1" applyFont="1" applyAlignment="1">
      <alignment horizontal="left" vertical="center"/>
    </xf>
    <xf numFmtId="0" fontId="34" fillId="0" borderId="0" xfId="0" applyFont="1">
      <alignment vertical="center"/>
    </xf>
    <xf numFmtId="0" fontId="0" fillId="29" borderId="93" xfId="0" applyFill="1" applyBorder="1" applyAlignment="1">
      <alignment horizontal="center" vertical="center"/>
    </xf>
    <xf numFmtId="0" fontId="0" fillId="29" borderId="94" xfId="0" applyFill="1" applyBorder="1" applyAlignment="1">
      <alignment horizontal="center" vertical="center"/>
    </xf>
    <xf numFmtId="0" fontId="0" fillId="29" borderId="95" xfId="0" applyFill="1" applyBorder="1">
      <alignment vertical="center"/>
    </xf>
    <xf numFmtId="0" fontId="0" fillId="25" borderId="88" xfId="0" applyFill="1" applyBorder="1" applyAlignment="1">
      <alignment horizontal="center" vertical="center"/>
    </xf>
    <xf numFmtId="0" fontId="0" fillId="25" borderId="96" xfId="0" applyFill="1" applyBorder="1" applyAlignment="1">
      <alignment horizontal="center" vertical="center" wrapText="1"/>
    </xf>
    <xf numFmtId="0" fontId="0" fillId="0" borderId="0" xfId="0" applyAlignment="1">
      <alignment horizontal="left" vertical="center"/>
    </xf>
    <xf numFmtId="0" fontId="29" fillId="0" borderId="0" xfId="0" applyFont="1">
      <alignment vertical="center"/>
    </xf>
    <xf numFmtId="0" fontId="34" fillId="0" borderId="54" xfId="0" applyFont="1" applyBorder="1" applyAlignment="1">
      <alignment horizontal="center" vertical="center"/>
    </xf>
    <xf numFmtId="0" fontId="29" fillId="0" borderId="0" xfId="0" applyFont="1" applyProtection="1">
      <alignment vertical="center"/>
      <protection hidden="1"/>
    </xf>
    <xf numFmtId="0" fontId="110" fillId="0" borderId="0" xfId="0" applyFont="1" applyProtection="1">
      <alignment vertical="center"/>
      <protection hidden="1"/>
    </xf>
    <xf numFmtId="0" fontId="29" fillId="36" borderId="91" xfId="0" applyFont="1" applyFill="1" applyBorder="1" applyProtection="1">
      <alignment vertical="center"/>
      <protection hidden="1"/>
    </xf>
    <xf numFmtId="0" fontId="38" fillId="0" borderId="0" xfId="0" applyFont="1" applyProtection="1">
      <alignment vertical="center"/>
      <protection hidden="1"/>
    </xf>
    <xf numFmtId="178" fontId="29" fillId="29" borderId="49"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centerContinuous" vertical="center"/>
      <protection hidden="1"/>
    </xf>
    <xf numFmtId="0" fontId="38" fillId="29" borderId="47" xfId="0" applyFont="1" applyFill="1" applyBorder="1" applyAlignment="1" applyProtection="1">
      <alignment horizontal="right" vertical="center"/>
      <protection hidden="1"/>
    </xf>
    <xf numFmtId="2" fontId="29" fillId="29" borderId="47" xfId="0" applyNumberFormat="1" applyFont="1" applyFill="1" applyBorder="1" applyAlignment="1" applyProtection="1">
      <alignment horizontal="left" vertical="center"/>
      <protection hidden="1"/>
    </xf>
    <xf numFmtId="186" fontId="27" fillId="29" borderId="91" xfId="0" applyNumberFormat="1" applyFont="1" applyFill="1" applyBorder="1" applyAlignment="1" applyProtection="1">
      <alignment horizontal="center" vertical="center"/>
      <protection locked="0" hidden="1"/>
    </xf>
    <xf numFmtId="0" fontId="27" fillId="25" borderId="101" xfId="0" applyFont="1" applyFill="1" applyBorder="1" applyAlignment="1" applyProtection="1">
      <alignment horizontal="center" vertical="center"/>
      <protection hidden="1"/>
    </xf>
    <xf numFmtId="0" fontId="27" fillId="25" borderId="102" xfId="0" applyFont="1" applyFill="1" applyBorder="1" applyAlignment="1" applyProtection="1">
      <alignment horizontal="center" vertical="center"/>
      <protection hidden="1"/>
    </xf>
    <xf numFmtId="185" fontId="29" fillId="0" borderId="10" xfId="34" applyNumberFormat="1" applyFont="1" applyBorder="1" applyAlignment="1" applyProtection="1">
      <alignment horizontal="center" vertical="center"/>
      <protection hidden="1"/>
    </xf>
    <xf numFmtId="9" fontId="29" fillId="25" borderId="106" xfId="0" applyNumberFormat="1" applyFont="1" applyFill="1" applyBorder="1" applyAlignment="1" applyProtection="1">
      <alignment horizontal="center" vertical="center"/>
      <protection locked="0" hidden="1"/>
    </xf>
    <xf numFmtId="9" fontId="29" fillId="25" borderId="107" xfId="0" applyNumberFormat="1" applyFont="1" applyFill="1" applyBorder="1" applyAlignment="1" applyProtection="1">
      <alignment horizontal="center" vertical="center"/>
      <protection locked="0" hidden="1"/>
    </xf>
    <xf numFmtId="0" fontId="46" fillId="34" borderId="0" xfId="0" applyFont="1" applyFill="1" applyAlignment="1" applyProtection="1">
      <alignment horizontal="left" vertical="center"/>
      <protection hidden="1"/>
    </xf>
    <xf numFmtId="0" fontId="29" fillId="29" borderId="47" xfId="0" applyFont="1" applyFill="1" applyBorder="1" applyAlignment="1" applyProtection="1">
      <alignment horizontal="centerContinuous" vertical="center"/>
      <protection hidden="1"/>
    </xf>
    <xf numFmtId="0" fontId="29" fillId="29" borderId="27" xfId="0" applyFont="1" applyFill="1" applyBorder="1" applyAlignment="1" applyProtection="1">
      <alignment horizontal="centerContinuous" vertical="center"/>
      <protection hidden="1"/>
    </xf>
    <xf numFmtId="0" fontId="29" fillId="34" borderId="54" xfId="0" applyFont="1" applyFill="1" applyBorder="1" applyAlignment="1" applyProtection="1">
      <alignment horizontal="left" wrapText="1"/>
      <protection hidden="1"/>
    </xf>
    <xf numFmtId="0" fontId="29" fillId="25" borderId="47" xfId="0" applyFont="1" applyFill="1" applyBorder="1" applyAlignment="1" applyProtection="1">
      <alignment horizontal="centerContinuous" vertical="center"/>
      <protection hidden="1"/>
    </xf>
    <xf numFmtId="0" fontId="29" fillId="25" borderId="100"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7"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Continuous" vertical="center"/>
      <protection hidden="1"/>
    </xf>
    <xf numFmtId="0" fontId="70" fillId="0" borderId="0" xfId="0" applyFont="1" applyAlignment="1">
      <alignment horizontal="left" vertical="center"/>
    </xf>
    <xf numFmtId="0" fontId="0" fillId="0" borderId="0" xfId="0" applyProtection="1">
      <alignment vertical="center"/>
      <protection hidden="1"/>
    </xf>
    <xf numFmtId="0" fontId="107" fillId="0" borderId="0" xfId="43" applyFont="1" applyProtection="1">
      <protection hidden="1"/>
    </xf>
    <xf numFmtId="0" fontId="34" fillId="25" borderId="0" xfId="0" applyFont="1" applyFill="1" applyAlignment="1" applyProtection="1">
      <alignment horizontal="center" vertical="center"/>
      <protection hidden="1"/>
    </xf>
    <xf numFmtId="0" fontId="34" fillId="25" borderId="24" xfId="0" applyFont="1" applyFill="1" applyBorder="1" applyAlignment="1" applyProtection="1">
      <alignment horizontal="right" vertical="center"/>
      <protection hidden="1"/>
    </xf>
    <xf numFmtId="177" fontId="34" fillId="25" borderId="28" xfId="0" applyNumberFormat="1" applyFont="1" applyFill="1" applyBorder="1" applyProtection="1">
      <alignment vertical="center"/>
      <protection hidden="1"/>
    </xf>
    <xf numFmtId="0" fontId="0" fillId="0" borderId="49" xfId="0" applyBorder="1" applyAlignment="1">
      <alignment vertical="top"/>
    </xf>
    <xf numFmtId="0" fontId="0" fillId="0" borderId="54" xfId="0" applyBorder="1" applyAlignment="1">
      <alignment vertical="top"/>
    </xf>
    <xf numFmtId="0" fontId="0" fillId="0" borderId="48"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47" xfId="0" applyBorder="1" applyAlignment="1">
      <alignment vertical="top"/>
    </xf>
    <xf numFmtId="0" fontId="0" fillId="0" borderId="15" xfId="0" applyBorder="1" applyAlignment="1">
      <alignment vertical="top"/>
    </xf>
    <xf numFmtId="0" fontId="0" fillId="0" borderId="53" xfId="0" applyBorder="1" applyAlignment="1">
      <alignment vertical="top"/>
    </xf>
    <xf numFmtId="0" fontId="0" fillId="0" borderId="52" xfId="0" applyBorder="1">
      <alignment vertical="center"/>
    </xf>
    <xf numFmtId="0" fontId="0" fillId="0" borderId="61" xfId="0" applyBorder="1" applyAlignment="1">
      <alignment vertical="top"/>
    </xf>
    <xf numFmtId="0" fontId="34" fillId="0" borderId="47" xfId="0" applyFont="1" applyBorder="1" applyAlignment="1" applyProtection="1">
      <alignment horizontal="left" vertical="center"/>
      <protection locked="0"/>
    </xf>
    <xf numFmtId="0" fontId="32" fillId="26" borderId="0" xfId="0" applyFont="1" applyFill="1" applyAlignment="1" applyProtection="1">
      <alignment horizontal="center" vertical="center"/>
      <protection hidden="1"/>
    </xf>
    <xf numFmtId="0" fontId="42" fillId="25" borderId="41" xfId="28" applyFont="1" applyFill="1" applyBorder="1" applyAlignment="1" applyProtection="1">
      <alignment horizontal="left" vertical="center" indent="1"/>
      <protection hidden="1"/>
    </xf>
    <xf numFmtId="0" fontId="29" fillId="25" borderId="0" xfId="0" applyFont="1" applyFill="1" applyAlignment="1" applyProtection="1">
      <alignment horizontal="right" vertical="center"/>
      <protection hidden="1"/>
    </xf>
    <xf numFmtId="178" fontId="29" fillId="25" borderId="25" xfId="0" applyNumberFormat="1" applyFont="1" applyFill="1" applyBorder="1" applyAlignment="1">
      <alignment horizontal="left" vertical="center"/>
    </xf>
    <xf numFmtId="178" fontId="0" fillId="0" borderId="10" xfId="0" applyNumberFormat="1" applyBorder="1" applyAlignment="1">
      <alignment vertical="top"/>
    </xf>
    <xf numFmtId="0" fontId="38" fillId="25" borderId="0" xfId="0" applyFont="1" applyFill="1" applyAlignment="1" applyProtection="1">
      <alignment horizontal="left" vertical="center"/>
      <protection hidden="1"/>
    </xf>
    <xf numFmtId="40" fontId="0" fillId="0" borderId="10" xfId="0" applyNumberFormat="1" applyBorder="1">
      <alignment vertical="center"/>
    </xf>
    <xf numFmtId="0" fontId="29" fillId="29" borderId="26" xfId="0" applyFont="1" applyFill="1" applyBorder="1" applyAlignment="1" applyProtection="1">
      <alignment horizontal="centerContinuous" vertical="center"/>
      <protection hidden="1"/>
    </xf>
    <xf numFmtId="3" fontId="115" fillId="0" borderId="59" xfId="0" applyNumberFormat="1" applyFont="1" applyBorder="1" applyAlignment="1" applyProtection="1">
      <alignment horizontal="left" vertical="center"/>
      <protection hidden="1"/>
    </xf>
    <xf numFmtId="0" fontId="115" fillId="0" borderId="59" xfId="0" applyFont="1" applyBorder="1" applyProtection="1">
      <alignment vertical="center"/>
      <protection hidden="1"/>
    </xf>
    <xf numFmtId="0" fontId="116" fillId="0" borderId="0" xfId="0" applyFont="1">
      <alignment vertical="center"/>
    </xf>
    <xf numFmtId="0" fontId="40" fillId="25" borderId="24" xfId="0" applyFont="1" applyFill="1" applyBorder="1" applyAlignment="1" applyProtection="1">
      <protection hidden="1"/>
    </xf>
    <xf numFmtId="0" fontId="114" fillId="25" borderId="0" xfId="0" applyFont="1" applyFill="1" applyAlignment="1" applyProtection="1">
      <alignment horizontal="left" vertical="center"/>
      <protection hidden="1"/>
    </xf>
    <xf numFmtId="0" fontId="34" fillId="0" borderId="82" xfId="0" applyFont="1" applyBorder="1" applyProtection="1">
      <alignment vertical="center"/>
      <protection hidden="1"/>
    </xf>
    <xf numFmtId="2" fontId="35" fillId="0" borderId="50" xfId="0" applyNumberFormat="1" applyFont="1" applyBorder="1" applyAlignment="1" applyProtection="1">
      <alignment horizontal="left" vertical="center"/>
      <protection hidden="1"/>
    </xf>
    <xf numFmtId="181" fontId="34" fillId="0" borderId="50" xfId="0" applyNumberFormat="1" applyFont="1" applyBorder="1" applyAlignment="1" applyProtection="1">
      <alignment horizontal="left" vertical="center"/>
      <protection hidden="1"/>
    </xf>
    <xf numFmtId="0" fontId="54" fillId="0" borderId="83" xfId="0" applyFont="1" applyBorder="1" applyProtection="1">
      <alignment vertical="center"/>
      <protection hidden="1"/>
    </xf>
    <xf numFmtId="0" fontId="34" fillId="0" borderId="82" xfId="0" applyFont="1" applyBorder="1" applyAlignment="1" applyProtection="1">
      <alignment horizontal="left" vertical="center"/>
      <protection hidden="1"/>
    </xf>
    <xf numFmtId="37" fontId="35" fillId="0" borderId="50" xfId="0" applyNumberFormat="1" applyFont="1" applyBorder="1" applyAlignment="1" applyProtection="1">
      <alignment horizontal="left" vertical="center"/>
      <protection hidden="1"/>
    </xf>
    <xf numFmtId="0" fontId="54" fillId="0" borderId="119" xfId="0" applyFont="1" applyBorder="1" applyProtection="1">
      <alignment vertical="center"/>
      <protection hidden="1"/>
    </xf>
    <xf numFmtId="3" fontId="34" fillId="0" borderId="50" xfId="0" applyNumberFormat="1" applyFont="1" applyBorder="1" applyAlignment="1" applyProtection="1">
      <alignment horizontal="right" vertical="center"/>
      <protection hidden="1"/>
    </xf>
    <xf numFmtId="0" fontId="27" fillId="25" borderId="97" xfId="0" applyFont="1" applyFill="1" applyBorder="1" applyAlignment="1" applyProtection="1">
      <alignment horizontal="center" vertical="center"/>
      <protection hidden="1"/>
    </xf>
    <xf numFmtId="0" fontId="29" fillId="25" borderId="10" xfId="0" applyFont="1" applyFill="1" applyBorder="1" applyAlignment="1" applyProtection="1">
      <alignment horizontal="center" vertical="center"/>
      <protection locked="0"/>
    </xf>
    <xf numFmtId="0" fontId="27" fillId="25" borderId="47" xfId="0" applyFont="1" applyFill="1" applyBorder="1" applyAlignment="1" applyProtection="1">
      <alignment vertical="center" wrapText="1"/>
      <protection hidden="1"/>
    </xf>
    <xf numFmtId="0" fontId="27" fillId="34" borderId="0" xfId="0" applyFont="1" applyFill="1" applyProtection="1">
      <alignment vertical="center"/>
      <protection hidden="1"/>
    </xf>
    <xf numFmtId="0" fontId="29" fillId="25" borderId="109" xfId="0" applyFont="1" applyFill="1" applyBorder="1" applyAlignment="1" applyProtection="1">
      <alignment horizontal="center" vertical="center"/>
      <protection hidden="1"/>
    </xf>
    <xf numFmtId="178" fontId="0" fillId="0" borderId="10" xfId="0" applyNumberFormat="1" applyBorder="1">
      <alignment vertical="center"/>
    </xf>
    <xf numFmtId="0" fontId="117" fillId="25" borderId="24" xfId="0" applyFont="1" applyFill="1" applyBorder="1" applyAlignment="1" applyProtection="1">
      <protection hidden="1"/>
    </xf>
    <xf numFmtId="0" fontId="0" fillId="0" borderId="0" xfId="0" applyAlignment="1">
      <alignment horizontal="right" vertical="center"/>
    </xf>
    <xf numFmtId="0" fontId="0" fillId="38" borderId="114" xfId="0" applyFill="1" applyBorder="1">
      <alignment vertical="center"/>
    </xf>
    <xf numFmtId="0" fontId="0" fillId="38" borderId="53" xfId="0" applyFill="1" applyBorder="1">
      <alignment vertical="center"/>
    </xf>
    <xf numFmtId="37" fontId="29" fillId="0" borderId="76" xfId="0" applyNumberFormat="1" applyFont="1" applyBorder="1" applyAlignment="1" applyProtection="1">
      <alignment horizontal="left" vertical="center" shrinkToFit="1"/>
      <protection hidden="1"/>
    </xf>
    <xf numFmtId="0" fontId="118" fillId="0" borderId="0" xfId="47">
      <alignment vertical="center"/>
    </xf>
    <xf numFmtId="0" fontId="39" fillId="25" borderId="0" xfId="0" applyFont="1" applyFill="1" applyProtection="1">
      <alignment vertical="center"/>
      <protection hidden="1"/>
    </xf>
    <xf numFmtId="0" fontId="0" fillId="25" borderId="120" xfId="0" applyFill="1" applyBorder="1" applyAlignment="1">
      <alignment horizontal="center" vertical="center" wrapText="1"/>
    </xf>
    <xf numFmtId="0" fontId="0" fillId="38" borderId="92" xfId="0" applyFill="1" applyBorder="1">
      <alignment vertical="center"/>
    </xf>
    <xf numFmtId="0" fontId="34" fillId="0" borderId="121" xfId="0" applyFont="1" applyBorder="1" applyAlignment="1" applyProtection="1">
      <alignment horizontal="left" vertical="center"/>
      <protection hidden="1"/>
    </xf>
    <xf numFmtId="0" fontId="47" fillId="0" borderId="0" xfId="0" applyFont="1">
      <alignment vertical="center"/>
    </xf>
    <xf numFmtId="0" fontId="111" fillId="0" borderId="0" xfId="0" applyFont="1">
      <alignment vertical="center"/>
    </xf>
    <xf numFmtId="0" fontId="44" fillId="0" borderId="0" xfId="0" applyFont="1" applyAlignment="1">
      <alignment horizontal="left" vertical="center"/>
    </xf>
    <xf numFmtId="37" fontId="120" fillId="0" borderId="0" xfId="0" applyNumberFormat="1" applyFont="1" applyAlignment="1" applyProtection="1">
      <alignment horizontal="right" vertical="center"/>
      <protection hidden="1"/>
    </xf>
    <xf numFmtId="0" fontId="88" fillId="31" borderId="50" xfId="0" applyFont="1" applyFill="1" applyBorder="1" applyProtection="1">
      <alignment vertical="center"/>
      <protection hidden="1"/>
    </xf>
    <xf numFmtId="0" fontId="0" fillId="0" borderId="54" xfId="0" applyBorder="1">
      <alignment vertical="center"/>
    </xf>
    <xf numFmtId="0" fontId="29" fillId="25" borderId="13"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79" fontId="38" fillId="0" borderId="0" xfId="47" applyNumberFormat="1" applyFont="1" applyAlignment="1" applyProtection="1">
      <alignment horizontal="left"/>
      <protection hidden="1"/>
    </xf>
    <xf numFmtId="0" fontId="86" fillId="0" borderId="62" xfId="47" applyFont="1" applyBorder="1" applyProtection="1">
      <alignment vertical="center"/>
      <protection hidden="1"/>
    </xf>
    <xf numFmtId="0" fontId="82" fillId="0" borderId="63" xfId="47" applyFont="1" applyBorder="1" applyAlignment="1" applyProtection="1">
      <alignment horizontal="left" vertical="center"/>
      <protection hidden="1"/>
    </xf>
    <xf numFmtId="0" fontId="102" fillId="0" borderId="64" xfId="47" applyFont="1" applyBorder="1" applyProtection="1">
      <alignment vertical="center"/>
      <protection hidden="1"/>
    </xf>
    <xf numFmtId="0" fontId="27" fillId="0" borderId="0" xfId="47" applyFont="1" applyAlignment="1" applyProtection="1">
      <alignment horizontal="center" vertical="justify"/>
      <protection hidden="1"/>
    </xf>
    <xf numFmtId="0" fontId="103" fillId="0" borderId="0" xfId="47" applyFont="1" applyProtection="1">
      <alignment vertical="center"/>
      <protection hidden="1"/>
    </xf>
    <xf numFmtId="0" fontId="104" fillId="0" borderId="0" xfId="47" applyFont="1" applyAlignment="1" applyProtection="1">
      <alignment horizontal="left"/>
      <protection hidden="1"/>
    </xf>
    <xf numFmtId="0" fontId="8" fillId="0" borderId="0" xfId="47" applyFont="1" applyProtection="1">
      <alignment vertical="center"/>
      <protection hidden="1"/>
    </xf>
    <xf numFmtId="179" fontId="93" fillId="0" borderId="0" xfId="47" applyNumberFormat="1" applyFont="1" applyAlignment="1" applyProtection="1">
      <alignment horizontal="left"/>
      <protection hidden="1"/>
    </xf>
    <xf numFmtId="0" fontId="61" fillId="33" borderId="65" xfId="47" applyFont="1" applyFill="1" applyBorder="1" applyAlignment="1" applyProtection="1">
      <alignment horizontal="left" vertical="center"/>
      <protection hidden="1"/>
    </xf>
    <xf numFmtId="0" fontId="82" fillId="33" borderId="66" xfId="47" applyFont="1" applyFill="1" applyBorder="1" applyAlignment="1" applyProtection="1">
      <alignment horizontal="left" vertical="center"/>
      <protection hidden="1"/>
    </xf>
    <xf numFmtId="179" fontId="38" fillId="33" borderId="66" xfId="47" applyNumberFormat="1" applyFont="1" applyFill="1" applyBorder="1" applyAlignment="1" applyProtection="1">
      <alignment horizontal="left" vertical="center"/>
      <protection hidden="1"/>
    </xf>
    <xf numFmtId="0" fontId="82" fillId="25" borderId="57" xfId="47" applyFont="1" applyFill="1" applyBorder="1" applyAlignment="1" applyProtection="1">
      <alignment horizontal="left" vertical="center"/>
      <protection hidden="1"/>
    </xf>
    <xf numFmtId="0" fontId="102" fillId="25" borderId="58" xfId="47" applyFont="1" applyFill="1" applyBorder="1" applyProtection="1">
      <alignment vertical="center"/>
      <protection hidden="1"/>
    </xf>
    <xf numFmtId="179" fontId="24" fillId="25" borderId="56" xfId="47" applyNumberFormat="1" applyFont="1" applyFill="1" applyBorder="1" applyAlignment="1" applyProtection="1">
      <alignment horizontal="centerContinuous" vertical="center"/>
      <protection hidden="1"/>
    </xf>
    <xf numFmtId="179" fontId="24" fillId="25" borderId="57" xfId="47" applyNumberFormat="1" applyFont="1" applyFill="1" applyBorder="1" applyAlignment="1" applyProtection="1">
      <alignment horizontal="centerContinuous" vertical="center"/>
      <protection hidden="1"/>
    </xf>
    <xf numFmtId="0" fontId="24" fillId="37" borderId="26" xfId="47" applyFont="1" applyFill="1" applyBorder="1" applyProtection="1">
      <alignment vertical="center"/>
      <protection hidden="1"/>
    </xf>
    <xf numFmtId="0" fontId="101" fillId="33" borderId="59" xfId="47" applyFont="1" applyFill="1" applyBorder="1" applyProtection="1">
      <alignment vertical="center"/>
      <protection hidden="1"/>
    </xf>
    <xf numFmtId="0" fontId="101" fillId="33" borderId="0" xfId="47" applyFont="1" applyFill="1" applyProtection="1">
      <alignment vertical="center"/>
      <protection hidden="1"/>
    </xf>
    <xf numFmtId="0" fontId="118" fillId="0" borderId="10" xfId="47" applyBorder="1">
      <alignment vertical="center"/>
    </xf>
    <xf numFmtId="182" fontId="37" fillId="37" borderId="122" xfId="47" applyNumberFormat="1" applyFont="1" applyFill="1" applyBorder="1" applyAlignment="1" applyProtection="1">
      <alignment horizontal="center" vertical="center"/>
      <protection hidden="1"/>
    </xf>
    <xf numFmtId="0" fontId="34" fillId="0" borderId="54" xfId="0" applyFont="1" applyBorder="1" applyAlignment="1">
      <alignment horizontal="left" vertical="center"/>
    </xf>
    <xf numFmtId="0" fontId="43"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protection hidden="1"/>
    </xf>
    <xf numFmtId="0" fontId="29" fillId="29"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protection hidden="1"/>
    </xf>
    <xf numFmtId="0" fontId="29" fillId="25" borderId="11" xfId="0" applyFont="1" applyFill="1" applyBorder="1" applyAlignment="1" applyProtection="1">
      <alignment horizontal="center" vertical="center"/>
      <protection hidden="1"/>
    </xf>
    <xf numFmtId="0" fontId="29" fillId="25" borderId="102" xfId="0" applyFont="1" applyFill="1" applyBorder="1" applyAlignment="1" applyProtection="1">
      <alignment horizontal="center" vertical="center"/>
      <protection hidden="1"/>
    </xf>
    <xf numFmtId="0" fontId="29" fillId="29" borderId="26" xfId="0" applyFont="1" applyFill="1" applyBorder="1" applyAlignment="1" applyProtection="1">
      <alignment horizontal="left" vertical="center"/>
      <protection hidden="1"/>
    </xf>
    <xf numFmtId="0" fontId="29" fillId="29" borderId="47" xfId="0" applyFont="1" applyFill="1" applyBorder="1" applyAlignment="1" applyProtection="1">
      <alignment horizontal="left" vertical="center"/>
      <protection hidden="1"/>
    </xf>
    <xf numFmtId="184" fontId="29" fillId="25" borderId="47" xfId="0" applyNumberFormat="1" applyFont="1" applyFill="1" applyBorder="1" applyAlignment="1" applyProtection="1">
      <alignment horizontal="centerContinuous" vertical="center"/>
      <protection hidden="1"/>
    </xf>
    <xf numFmtId="9" fontId="29" fillId="25" borderId="85" xfId="0" applyNumberFormat="1" applyFont="1" applyFill="1" applyBorder="1" applyAlignment="1" applyProtection="1">
      <alignment horizontal="center" vertical="center"/>
      <protection locked="0" hidden="1"/>
    </xf>
    <xf numFmtId="0" fontId="29" fillId="25" borderId="132" xfId="0" applyFont="1" applyFill="1" applyBorder="1" applyAlignment="1" applyProtection="1">
      <alignment horizontal="center" vertical="center"/>
      <protection hidden="1"/>
    </xf>
    <xf numFmtId="0" fontId="29" fillId="25" borderId="130" xfId="0" applyFont="1" applyFill="1" applyBorder="1" applyAlignment="1" applyProtection="1">
      <alignment horizontal="center" vertical="center"/>
      <protection hidden="1"/>
    </xf>
    <xf numFmtId="0" fontId="29" fillId="25" borderId="131" xfId="0" applyFont="1" applyFill="1" applyBorder="1" applyAlignment="1" applyProtection="1">
      <alignment horizontal="center" vertical="center"/>
      <protection hidden="1"/>
    </xf>
    <xf numFmtId="0" fontId="29" fillId="25" borderId="129" xfId="0" applyFont="1" applyFill="1" applyBorder="1" applyAlignment="1" applyProtection="1">
      <alignment horizontal="center" vertical="center"/>
      <protection hidden="1"/>
    </xf>
    <xf numFmtId="189" fontId="29" fillId="25" borderId="106" xfId="0" applyNumberFormat="1" applyFont="1" applyFill="1" applyBorder="1" applyAlignment="1" applyProtection="1">
      <alignment horizontal="center" vertical="center"/>
      <protection locked="0" hidden="1"/>
    </xf>
    <xf numFmtId="189" fontId="29" fillId="25" borderId="107" xfId="0" applyNumberFormat="1" applyFont="1" applyFill="1" applyBorder="1" applyAlignment="1" applyProtection="1">
      <alignment horizontal="center" vertical="center"/>
      <protection locked="0" hidden="1"/>
    </xf>
    <xf numFmtId="189" fontId="29" fillId="25" borderId="108"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vertical="center" wrapText="1"/>
      <protection hidden="1"/>
    </xf>
    <xf numFmtId="0" fontId="24" fillId="37" borderId="47" xfId="47" applyFont="1" applyFill="1" applyBorder="1" applyAlignment="1" applyProtection="1">
      <alignment horizontal="left" vertical="center"/>
      <protection hidden="1"/>
    </xf>
    <xf numFmtId="0" fontId="24" fillId="37" borderId="50" xfId="47" applyFont="1" applyFill="1" applyBorder="1" applyAlignment="1" applyProtection="1">
      <alignment horizontal="left" vertical="center"/>
      <protection hidden="1"/>
    </xf>
    <xf numFmtId="0" fontId="24" fillId="37" borderId="54" xfId="47" applyFont="1" applyFill="1" applyBorder="1" applyAlignment="1" applyProtection="1">
      <alignment horizontal="left" vertical="center"/>
      <protection hidden="1"/>
    </xf>
    <xf numFmtId="0" fontId="29" fillId="0" borderId="0" xfId="47" applyFont="1" applyAlignment="1" applyProtection="1">
      <alignment horizontal="left" vertical="center"/>
      <protection hidden="1"/>
    </xf>
    <xf numFmtId="0" fontId="61" fillId="33" borderId="68" xfId="47" applyFont="1" applyFill="1" applyBorder="1" applyAlignment="1" applyProtection="1">
      <alignment horizontal="center" vertical="center"/>
      <protection hidden="1"/>
    </xf>
    <xf numFmtId="0" fontId="24" fillId="37" borderId="79" xfId="47" applyFont="1" applyFill="1" applyBorder="1" applyAlignment="1" applyProtection="1">
      <alignment horizontal="right" vertical="center"/>
      <protection hidden="1"/>
    </xf>
    <xf numFmtId="0" fontId="43" fillId="37" borderId="59" xfId="47" applyFont="1" applyFill="1" applyBorder="1" applyAlignment="1" applyProtection="1">
      <alignment horizontal="center"/>
      <protection hidden="1"/>
    </xf>
    <xf numFmtId="0" fontId="43" fillId="37" borderId="59" xfId="47" quotePrefix="1" applyFont="1" applyFill="1" applyBorder="1" applyProtection="1">
      <alignment vertical="center"/>
      <protection hidden="1"/>
    </xf>
    <xf numFmtId="0" fontId="43" fillId="37" borderId="87" xfId="47" applyFont="1" applyFill="1" applyBorder="1" applyAlignment="1" applyProtection="1">
      <alignment horizontal="center"/>
      <protection hidden="1"/>
    </xf>
    <xf numFmtId="0" fontId="43" fillId="37" borderId="82" xfId="47" quotePrefix="1" applyFont="1" applyFill="1" applyBorder="1" applyAlignment="1" applyProtection="1">
      <alignment horizontal="right" vertical="center"/>
      <protection hidden="1"/>
    </xf>
    <xf numFmtId="0" fontId="43" fillId="37" borderId="59" xfId="47" quotePrefix="1" applyFont="1" applyFill="1" applyBorder="1" applyAlignment="1" applyProtection="1">
      <alignment horizontal="center" vertical="center"/>
      <protection hidden="1"/>
    </xf>
    <xf numFmtId="0" fontId="43" fillId="37" borderId="74" xfId="47" quotePrefix="1" applyFont="1" applyFill="1" applyBorder="1" applyAlignment="1" applyProtection="1">
      <alignment horizontal="center" vertical="center"/>
      <protection hidden="1"/>
    </xf>
    <xf numFmtId="0" fontId="43" fillId="37" borderId="59" xfId="47" applyFont="1" applyFill="1" applyBorder="1" applyAlignment="1" applyProtection="1">
      <alignment horizontal="center" vertical="center"/>
      <protection hidden="1"/>
    </xf>
    <xf numFmtId="0" fontId="43" fillId="37" borderId="87" xfId="47" quotePrefix="1" applyFont="1" applyFill="1" applyBorder="1" applyAlignment="1" applyProtection="1">
      <alignment horizontal="center" vertical="center"/>
      <protection hidden="1"/>
    </xf>
    <xf numFmtId="0" fontId="43" fillId="37" borderId="82" xfId="47" quotePrefix="1" applyFont="1" applyFill="1" applyBorder="1" applyProtection="1">
      <alignment vertical="center"/>
      <protection hidden="1"/>
    </xf>
    <xf numFmtId="0" fontId="43" fillId="37" borderId="74" xfId="47" quotePrefix="1" applyFont="1" applyFill="1" applyBorder="1" applyProtection="1">
      <alignment vertical="center"/>
      <protection hidden="1"/>
    </xf>
    <xf numFmtId="0" fontId="43" fillId="37" borderId="82" xfId="47" applyFont="1" applyFill="1" applyBorder="1" applyProtection="1">
      <alignment vertical="center"/>
      <protection hidden="1"/>
    </xf>
    <xf numFmtId="0" fontId="43" fillId="37" borderId="88" xfId="47" applyFont="1" applyFill="1" applyBorder="1" applyProtection="1">
      <alignment vertical="center"/>
      <protection hidden="1"/>
    </xf>
    <xf numFmtId="0" fontId="43" fillId="37" borderId="59" xfId="47" applyFont="1" applyFill="1" applyBorder="1" applyProtection="1">
      <alignment vertical="center"/>
      <protection hidden="1"/>
    </xf>
    <xf numFmtId="0" fontId="31" fillId="37" borderId="60" xfId="47" applyFont="1" applyFill="1" applyBorder="1" applyProtection="1">
      <alignment vertical="center"/>
      <protection hidden="1"/>
    </xf>
    <xf numFmtId="0" fontId="0" fillId="37" borderId="83" xfId="47" applyFont="1" applyFill="1" applyBorder="1" applyAlignment="1" applyProtection="1">
      <alignment horizontal="left" vertical="center"/>
      <protection hidden="1"/>
    </xf>
    <xf numFmtId="0" fontId="31" fillId="37" borderId="83" xfId="47" applyFont="1" applyFill="1" applyBorder="1" applyProtection="1">
      <alignment vertical="center"/>
      <protection hidden="1"/>
    </xf>
    <xf numFmtId="0" fontId="31" fillId="37" borderId="76" xfId="47" applyFont="1" applyFill="1" applyBorder="1" applyProtection="1">
      <alignment vertical="center"/>
      <protection hidden="1"/>
    </xf>
    <xf numFmtId="0" fontId="0" fillId="37" borderId="122" xfId="47" applyFont="1" applyFill="1" applyBorder="1" applyAlignment="1" applyProtection="1">
      <alignment horizontal="left" vertical="center"/>
      <protection hidden="1"/>
    </xf>
    <xf numFmtId="0" fontId="0" fillId="37" borderId="122" xfId="47" applyFont="1" applyFill="1" applyBorder="1" applyProtection="1">
      <alignment vertical="center"/>
      <protection hidden="1"/>
    </xf>
    <xf numFmtId="0" fontId="24" fillId="37" borderId="79" xfId="47" applyFont="1" applyFill="1" applyBorder="1" applyProtection="1">
      <alignment vertical="center"/>
      <protection hidden="1"/>
    </xf>
    <xf numFmtId="0" fontId="121" fillId="37" borderId="60" xfId="28" applyFont="1" applyFill="1" applyBorder="1" applyAlignment="1" applyProtection="1">
      <alignment horizontal="center" vertical="center"/>
      <protection hidden="1"/>
    </xf>
    <xf numFmtId="0" fontId="43" fillId="25" borderId="56" xfId="47" applyFont="1" applyFill="1" applyBorder="1" applyProtection="1">
      <alignment vertical="center"/>
      <protection hidden="1"/>
    </xf>
    <xf numFmtId="0" fontId="24" fillId="0" borderId="10" xfId="0" applyFont="1" applyBorder="1">
      <alignment vertical="center"/>
    </xf>
    <xf numFmtId="182" fontId="46" fillId="37" borderId="127" xfId="47" applyNumberFormat="1" applyFont="1" applyFill="1" applyBorder="1" applyAlignment="1" applyProtection="1">
      <alignment horizontal="center" vertical="center"/>
      <protection hidden="1"/>
    </xf>
    <xf numFmtId="182" fontId="46" fillId="37" borderId="122" xfId="47" applyNumberFormat="1" applyFont="1" applyFill="1" applyBorder="1" applyAlignment="1" applyProtection="1">
      <alignment horizontal="center" vertical="center"/>
      <protection hidden="1"/>
    </xf>
    <xf numFmtId="179" fontId="38" fillId="33" borderId="65" xfId="47" applyNumberFormat="1" applyFont="1" applyFill="1" applyBorder="1" applyAlignment="1" applyProtection="1">
      <alignment horizontal="left" vertical="center"/>
      <protection hidden="1"/>
    </xf>
    <xf numFmtId="0" fontId="126" fillId="0" borderId="0" xfId="0" applyFont="1" applyProtection="1">
      <alignment vertical="center"/>
      <protection hidden="1"/>
    </xf>
    <xf numFmtId="0" fontId="127" fillId="37" borderId="122" xfId="28" applyFont="1" applyFill="1" applyBorder="1" applyAlignment="1" applyProtection="1">
      <alignment horizontal="left" vertical="center"/>
      <protection hidden="1"/>
    </xf>
    <xf numFmtId="0" fontId="34" fillId="38" borderId="10" xfId="0" applyFont="1" applyFill="1" applyBorder="1" applyAlignment="1" applyProtection="1">
      <alignment horizontal="center" vertical="center"/>
      <protection locked="0" hidden="1"/>
    </xf>
    <xf numFmtId="0" fontId="0" fillId="38" borderId="0" xfId="0" applyFill="1" applyAlignment="1">
      <alignment horizontal="left" vertical="center"/>
    </xf>
    <xf numFmtId="0" fontId="83" fillId="40" borderId="63" xfId="0" applyFont="1" applyFill="1" applyBorder="1" applyProtection="1">
      <alignment vertical="center"/>
      <protection hidden="1"/>
    </xf>
    <xf numFmtId="0" fontId="29" fillId="25" borderId="140" xfId="0" applyFont="1" applyFill="1" applyBorder="1" applyAlignment="1" applyProtection="1">
      <alignment horizontal="left" vertical="center"/>
      <protection hidden="1"/>
    </xf>
    <xf numFmtId="0" fontId="29" fillId="29" borderId="10" xfId="0" applyFont="1" applyFill="1" applyBorder="1" applyAlignment="1" applyProtection="1">
      <alignment horizontal="centerContinuous" vertical="center"/>
      <protection hidden="1"/>
    </xf>
    <xf numFmtId="0" fontId="29" fillId="25" borderId="100" xfId="0" applyFont="1" applyFill="1" applyBorder="1" applyAlignment="1" applyProtection="1">
      <alignment vertical="center" wrapText="1"/>
      <protection hidden="1"/>
    </xf>
    <xf numFmtId="0" fontId="0" fillId="0" borderId="61" xfId="0" applyBorder="1">
      <alignment vertical="center"/>
    </xf>
    <xf numFmtId="186" fontId="27" fillId="38" borderId="91" xfId="0" applyNumberFormat="1" applyFont="1" applyFill="1" applyBorder="1" applyAlignment="1" applyProtection="1">
      <alignment horizontal="center" vertical="center"/>
      <protection locked="0" hidden="1"/>
    </xf>
    <xf numFmtId="0" fontId="118" fillId="40" borderId="10" xfId="47" applyFill="1" applyBorder="1">
      <alignment vertical="center"/>
    </xf>
    <xf numFmtId="0" fontId="124" fillId="0" borderId="10" xfId="0" applyFont="1" applyBorder="1" applyAlignment="1" applyProtection="1">
      <alignment horizontal="left"/>
      <protection hidden="1"/>
    </xf>
    <xf numFmtId="0" fontId="124" fillId="0" borderId="10" xfId="0" applyFont="1" applyBorder="1" applyAlignment="1" applyProtection="1">
      <alignment horizontal="left" vertical="center"/>
      <protection hidden="1"/>
    </xf>
    <xf numFmtId="0" fontId="29" fillId="25" borderId="105" xfId="0" applyFont="1" applyFill="1" applyBorder="1" applyAlignment="1" applyProtection="1">
      <alignment horizontal="left" vertical="center" wrapText="1"/>
      <protection hidden="1"/>
    </xf>
    <xf numFmtId="0" fontId="29" fillId="34" borderId="0" xfId="0" applyFont="1" applyFill="1" applyAlignment="1" applyProtection="1">
      <alignment horizontal="left" wrapText="1"/>
      <protection hidden="1"/>
    </xf>
    <xf numFmtId="0" fontId="29" fillId="25" borderId="141" xfId="0" applyFont="1" applyFill="1" applyBorder="1" applyAlignment="1" applyProtection="1">
      <alignment horizontal="centerContinuous" vertical="center"/>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98" xfId="0" applyFont="1" applyFill="1" applyBorder="1" applyProtection="1">
      <alignment vertical="center"/>
      <protection hidden="1"/>
    </xf>
    <xf numFmtId="0" fontId="29" fillId="25" borderId="99" xfId="0" applyFont="1" applyFill="1" applyBorder="1" applyProtection="1">
      <alignment vertical="center"/>
      <protection hidden="1"/>
    </xf>
    <xf numFmtId="181" fontId="0" fillId="0" borderId="10" xfId="0" applyNumberFormat="1" applyBorder="1">
      <alignment vertical="center"/>
    </xf>
    <xf numFmtId="181" fontId="0" fillId="0" borderId="52" xfId="0" applyNumberFormat="1" applyBorder="1">
      <alignment vertical="center"/>
    </xf>
    <xf numFmtId="0" fontId="0" fillId="37" borderId="122" xfId="47" applyFont="1" applyFill="1" applyBorder="1" applyAlignment="1" applyProtection="1">
      <alignment vertical="center" shrinkToFit="1"/>
      <protection hidden="1"/>
    </xf>
    <xf numFmtId="0" fontId="0" fillId="37" borderId="126" xfId="47" applyFont="1" applyFill="1" applyBorder="1" applyAlignment="1" applyProtection="1">
      <alignment vertical="center" shrinkToFit="1"/>
      <protection hidden="1"/>
    </xf>
    <xf numFmtId="0" fontId="24" fillId="37" borderId="79" xfId="47" applyFont="1" applyFill="1" applyBorder="1" applyAlignment="1" applyProtection="1">
      <alignment vertical="center" shrinkToFit="1"/>
      <protection hidden="1"/>
    </xf>
    <xf numFmtId="179" fontId="38" fillId="33" borderId="142" xfId="47" applyNumberFormat="1" applyFont="1" applyFill="1" applyBorder="1" applyAlignment="1" applyProtection="1">
      <alignment horizontal="left" vertical="center"/>
      <protection hidden="1"/>
    </xf>
    <xf numFmtId="0" fontId="61" fillId="30" borderId="86" xfId="0" applyFont="1" applyFill="1" applyBorder="1" applyProtection="1">
      <alignment vertical="center"/>
      <protection hidden="1"/>
    </xf>
    <xf numFmtId="0" fontId="105" fillId="30" borderId="123" xfId="0" applyFont="1" applyFill="1" applyBorder="1" applyAlignment="1" applyProtection="1">
      <alignment horizontal="left" vertical="center"/>
      <protection hidden="1"/>
    </xf>
    <xf numFmtId="181" fontId="61" fillId="30" borderId="124" xfId="0" applyNumberFormat="1" applyFont="1" applyFill="1" applyBorder="1" applyAlignment="1" applyProtection="1">
      <alignment horizontal="center" vertical="center"/>
      <protection hidden="1"/>
    </xf>
    <xf numFmtId="179" fontId="38" fillId="30" borderId="86" xfId="0" applyNumberFormat="1" applyFont="1" applyFill="1" applyBorder="1" applyAlignment="1" applyProtection="1">
      <alignment horizontal="left" vertical="center"/>
      <protection hidden="1"/>
    </xf>
    <xf numFmtId="179" fontId="38" fillId="30" borderId="123" xfId="0" applyNumberFormat="1" applyFont="1" applyFill="1" applyBorder="1" applyAlignment="1" applyProtection="1">
      <alignment horizontal="left" vertical="center"/>
      <protection hidden="1"/>
    </xf>
    <xf numFmtId="188" fontId="123" fillId="30" borderId="144" xfId="0" applyNumberFormat="1" applyFont="1" applyFill="1" applyBorder="1" applyAlignment="1" applyProtection="1">
      <alignment horizontal="center" vertical="center"/>
      <protection hidden="1"/>
    </xf>
    <xf numFmtId="0" fontId="61" fillId="39" borderId="145" xfId="47" applyFont="1" applyFill="1" applyBorder="1" applyProtection="1">
      <alignment vertical="center"/>
      <protection hidden="1"/>
    </xf>
    <xf numFmtId="0" fontId="105" fillId="39" borderId="146" xfId="47" applyFont="1" applyFill="1" applyBorder="1" applyAlignment="1" applyProtection="1">
      <alignment horizontal="left" vertical="center"/>
      <protection hidden="1"/>
    </xf>
    <xf numFmtId="181" fontId="61" fillId="39" borderId="147" xfId="47" applyNumberFormat="1" applyFont="1" applyFill="1" applyBorder="1" applyAlignment="1" applyProtection="1">
      <alignment horizontal="center" vertical="center"/>
      <protection hidden="1"/>
    </xf>
    <xf numFmtId="179" fontId="38" fillId="39" borderId="145" xfId="47" applyNumberFormat="1" applyFont="1" applyFill="1" applyBorder="1" applyAlignment="1" applyProtection="1">
      <alignment horizontal="left" vertical="center"/>
      <protection hidden="1"/>
    </xf>
    <xf numFmtId="179" fontId="38" fillId="39" borderId="146" xfId="47" applyNumberFormat="1" applyFont="1" applyFill="1" applyBorder="1" applyAlignment="1" applyProtection="1">
      <alignment horizontal="left" vertical="center"/>
      <protection hidden="1"/>
    </xf>
    <xf numFmtId="179" fontId="38" fillId="39" borderId="146" xfId="47" applyNumberFormat="1" applyFont="1" applyFill="1" applyBorder="1" applyAlignment="1" applyProtection="1">
      <alignment horizontal="left"/>
      <protection hidden="1"/>
    </xf>
    <xf numFmtId="188" fontId="122" fillId="39" borderId="148" xfId="47" applyNumberFormat="1" applyFont="1" applyFill="1" applyBorder="1" applyAlignment="1" applyProtection="1">
      <alignment horizontal="center"/>
      <protection hidden="1"/>
    </xf>
    <xf numFmtId="0" fontId="43" fillId="29" borderId="149" xfId="0" applyFont="1" applyFill="1" applyBorder="1" applyProtection="1">
      <alignment vertical="center"/>
      <protection hidden="1"/>
    </xf>
    <xf numFmtId="0" fontId="24" fillId="29" borderId="150" xfId="0" applyFont="1" applyFill="1" applyBorder="1" applyAlignment="1" applyProtection="1">
      <alignment horizontal="left" vertical="center"/>
      <protection hidden="1"/>
    </xf>
    <xf numFmtId="0" fontId="0" fillId="29" borderId="151" xfId="0" applyFill="1" applyBorder="1" applyAlignment="1" applyProtection="1">
      <alignment horizontal="left" vertical="center"/>
      <protection hidden="1"/>
    </xf>
    <xf numFmtId="179" fontId="38" fillId="29" borderId="152" xfId="0" applyNumberFormat="1" applyFont="1" applyFill="1" applyBorder="1" applyAlignment="1" applyProtection="1">
      <alignment horizontal="left" vertical="center"/>
      <protection hidden="1"/>
    </xf>
    <xf numFmtId="179" fontId="38" fillId="29" borderId="150" xfId="0" applyNumberFormat="1" applyFont="1" applyFill="1" applyBorder="1" applyAlignment="1" applyProtection="1">
      <alignment horizontal="left" vertical="center"/>
      <protection hidden="1"/>
    </xf>
    <xf numFmtId="0" fontId="43" fillId="29" borderId="145" xfId="0" applyFont="1" applyFill="1" applyBorder="1" applyProtection="1">
      <alignment vertical="center"/>
      <protection hidden="1"/>
    </xf>
    <xf numFmtId="0" fontId="24" fillId="29" borderId="146" xfId="0" applyFont="1" applyFill="1" applyBorder="1" applyAlignment="1" applyProtection="1">
      <alignment horizontal="left" vertical="center"/>
      <protection hidden="1"/>
    </xf>
    <xf numFmtId="0" fontId="0" fillId="29" borderId="147" xfId="0" applyFill="1" applyBorder="1" applyAlignment="1" applyProtection="1">
      <alignment horizontal="left" vertical="center"/>
      <protection hidden="1"/>
    </xf>
    <xf numFmtId="179" fontId="38" fillId="29" borderId="145" xfId="0" applyNumberFormat="1" applyFont="1" applyFill="1" applyBorder="1" applyAlignment="1" applyProtection="1">
      <alignment horizontal="left" vertical="center"/>
      <protection hidden="1"/>
    </xf>
    <xf numFmtId="179" fontId="38" fillId="29" borderId="146" xfId="0" applyNumberFormat="1" applyFont="1" applyFill="1" applyBorder="1" applyAlignment="1" applyProtection="1">
      <alignment horizontal="left" vertical="center"/>
      <protection hidden="1"/>
    </xf>
    <xf numFmtId="188" fontId="46" fillId="29" borderId="148" xfId="0" applyNumberFormat="1" applyFont="1" applyFill="1" applyBorder="1" applyAlignment="1" applyProtection="1">
      <alignment horizontal="center" vertical="center"/>
      <protection hidden="1"/>
    </xf>
    <xf numFmtId="188" fontId="46" fillId="29" borderId="153" xfId="0" applyNumberFormat="1" applyFont="1" applyFill="1" applyBorder="1" applyAlignment="1" applyProtection="1">
      <alignment horizontal="center" vertical="center"/>
      <protection hidden="1"/>
    </xf>
    <xf numFmtId="0" fontId="24" fillId="37" borderId="26" xfId="47" applyFont="1" applyFill="1" applyBorder="1" applyAlignment="1" applyProtection="1">
      <alignment vertical="top"/>
      <protection hidden="1"/>
    </xf>
    <xf numFmtId="0" fontId="24" fillId="37" borderId="79" xfId="47" applyFont="1" applyFill="1" applyBorder="1" applyAlignment="1" applyProtection="1">
      <alignment vertical="top"/>
      <protection hidden="1"/>
    </xf>
    <xf numFmtId="179" fontId="29" fillId="37" borderId="77" xfId="0" applyNumberFormat="1" applyFont="1" applyFill="1" applyBorder="1" applyAlignment="1" applyProtection="1">
      <alignment horizontal="left" vertical="center" wrapText="1"/>
      <protection locked="0"/>
    </xf>
    <xf numFmtId="179" fontId="29" fillId="37" borderId="47" xfId="0" applyNumberFormat="1" applyFont="1" applyFill="1" applyBorder="1" applyAlignment="1" applyProtection="1">
      <alignment horizontal="left" vertical="center" wrapText="1"/>
      <protection locked="0"/>
    </xf>
    <xf numFmtId="179" fontId="38" fillId="37" borderId="27" xfId="0" applyNumberFormat="1" applyFont="1" applyFill="1" applyBorder="1" applyAlignment="1" applyProtection="1">
      <alignment horizontal="left" wrapText="1"/>
      <protection locked="0"/>
    </xf>
    <xf numFmtId="0" fontId="43" fillId="25" borderId="62" xfId="47" applyFont="1" applyFill="1" applyBorder="1" applyProtection="1">
      <alignment vertical="center"/>
      <protection hidden="1"/>
    </xf>
    <xf numFmtId="0" fontId="82" fillId="25" borderId="63" xfId="47" applyFont="1" applyFill="1" applyBorder="1" applyAlignment="1" applyProtection="1">
      <alignment horizontal="left" vertical="center"/>
      <protection hidden="1"/>
    </xf>
    <xf numFmtId="0" fontId="102" fillId="25" borderId="64" xfId="47" applyFont="1" applyFill="1" applyBorder="1" applyProtection="1">
      <alignment vertical="center"/>
      <protection hidden="1"/>
    </xf>
    <xf numFmtId="179" fontId="24" fillId="25" borderId="62" xfId="47" applyNumberFormat="1" applyFont="1" applyFill="1" applyBorder="1" applyAlignment="1" applyProtection="1">
      <alignment horizontal="centerContinuous" vertical="center"/>
      <protection hidden="1"/>
    </xf>
    <xf numFmtId="179" fontId="24" fillId="25" borderId="63" xfId="47" applyNumberFormat="1" applyFont="1" applyFill="1" applyBorder="1" applyAlignment="1" applyProtection="1">
      <alignment horizontal="centerContinuous" vertical="center"/>
      <protection hidden="1"/>
    </xf>
    <xf numFmtId="0" fontId="58" fillId="0" borderId="61" xfId="0" applyFont="1" applyBorder="1" applyProtection="1">
      <alignment vertical="center"/>
      <protection hidden="1"/>
    </xf>
    <xf numFmtId="0" fontId="29" fillId="25" borderId="154" xfId="0" applyFont="1" applyFill="1" applyBorder="1" applyAlignment="1" applyProtection="1">
      <alignment horizontal="centerContinuous" vertical="center"/>
      <protection hidden="1"/>
    </xf>
    <xf numFmtId="186" fontId="27" fillId="29" borderId="48" xfId="0" applyNumberFormat="1" applyFont="1" applyFill="1" applyBorder="1" applyAlignment="1" applyProtection="1">
      <alignment horizontal="center" vertical="center"/>
      <protection hidden="1"/>
    </xf>
    <xf numFmtId="9" fontId="29" fillId="25" borderId="108" xfId="0" applyNumberFormat="1" applyFont="1" applyFill="1" applyBorder="1" applyAlignment="1" applyProtection="1">
      <alignment horizontal="center" vertical="center"/>
      <protection locked="0" hidden="1"/>
    </xf>
    <xf numFmtId="0" fontId="29" fillId="41" borderId="4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Continuous" vertical="center"/>
      <protection hidden="1"/>
    </xf>
    <xf numFmtId="0" fontId="29" fillId="41" borderId="27" xfId="0" applyFont="1" applyFill="1" applyBorder="1" applyAlignment="1" applyProtection="1">
      <alignment horizontal="centerContinuous" vertical="center"/>
      <protection hidden="1"/>
    </xf>
    <xf numFmtId="0" fontId="29" fillId="25" borderId="78" xfId="0" applyFont="1" applyFill="1" applyBorder="1" applyAlignment="1" applyProtection="1">
      <alignment horizontal="centerContinuous" vertical="center"/>
      <protection hidden="1"/>
    </xf>
    <xf numFmtId="0" fontId="29" fillId="25" borderId="47" xfId="0" applyFont="1" applyFill="1" applyBorder="1" applyAlignment="1" applyProtection="1">
      <alignment horizontal="center" vertical="center"/>
      <protection hidden="1"/>
    </xf>
    <xf numFmtId="0" fontId="118" fillId="42" borderId="10" xfId="47" applyFill="1" applyBorder="1">
      <alignment vertical="center"/>
    </xf>
    <xf numFmtId="0" fontId="28" fillId="0" borderId="0" xfId="0" applyFont="1">
      <alignment vertical="center"/>
    </xf>
    <xf numFmtId="0" fontId="47" fillId="0" borderId="60" xfId="0" applyFont="1" applyBorder="1">
      <alignment vertical="center"/>
    </xf>
    <xf numFmtId="0" fontId="131" fillId="0" borderId="0" xfId="0" applyFont="1">
      <alignment vertical="center"/>
    </xf>
    <xf numFmtId="0" fontId="0" fillId="0" borderId="60" xfId="0" applyBorder="1">
      <alignment vertical="center"/>
    </xf>
    <xf numFmtId="0" fontId="134" fillId="31" borderId="82" xfId="0" applyFont="1" applyFill="1" applyBorder="1" applyProtection="1">
      <alignment vertical="center"/>
      <protection hidden="1"/>
    </xf>
    <xf numFmtId="0" fontId="47" fillId="0" borderId="61" xfId="0" applyFont="1" applyBorder="1">
      <alignment vertical="center"/>
    </xf>
    <xf numFmtId="0" fontId="131" fillId="0" borderId="0" xfId="0" applyFont="1" applyAlignment="1">
      <alignment horizontal="right" vertical="center"/>
    </xf>
    <xf numFmtId="181" fontId="131" fillId="0" borderId="60" xfId="0" applyNumberFormat="1" applyFont="1" applyBorder="1" applyAlignment="1">
      <alignment horizontal="left" vertical="center"/>
    </xf>
    <xf numFmtId="181" fontId="131" fillId="0" borderId="0" xfId="0" applyNumberFormat="1" applyFont="1" applyAlignment="1">
      <alignment horizontal="left" vertical="center"/>
    </xf>
    <xf numFmtId="0" fontId="135" fillId="0" borderId="0" xfId="47" applyFont="1">
      <alignment vertical="center"/>
    </xf>
    <xf numFmtId="0" fontId="114" fillId="25" borderId="99" xfId="0" applyFont="1" applyFill="1" applyBorder="1" applyAlignment="1" applyProtection="1">
      <alignment horizontal="left" vertical="center"/>
      <protection hidden="1"/>
    </xf>
    <xf numFmtId="0" fontId="114" fillId="25" borderId="100" xfId="0" applyFont="1" applyFill="1" applyBorder="1" applyAlignment="1" applyProtection="1">
      <alignment horizontal="left" vertical="center"/>
      <protection hidden="1"/>
    </xf>
    <xf numFmtId="0" fontId="114" fillId="25" borderId="13" xfId="0" applyFont="1" applyFill="1" applyBorder="1" applyAlignment="1" applyProtection="1">
      <alignment horizontal="left" vertical="center"/>
      <protection hidden="1"/>
    </xf>
    <xf numFmtId="0" fontId="114" fillId="25" borderId="14" xfId="0" applyFont="1" applyFill="1" applyBorder="1" applyAlignment="1" applyProtection="1">
      <alignment horizontal="left" vertical="center"/>
      <protection hidden="1"/>
    </xf>
    <xf numFmtId="0" fontId="114" fillId="25" borderId="105" xfId="0" applyFont="1" applyFill="1" applyBorder="1" applyAlignment="1" applyProtection="1">
      <alignment horizontal="left" vertical="center"/>
      <protection hidden="1"/>
    </xf>
    <xf numFmtId="0" fontId="114" fillId="25" borderId="104" xfId="0" applyFont="1" applyFill="1" applyBorder="1" applyAlignment="1" applyProtection="1">
      <alignment horizontal="left" vertical="center"/>
      <protection hidden="1"/>
    </xf>
    <xf numFmtId="0" fontId="29" fillId="25" borderId="92" xfId="0" applyFont="1" applyFill="1" applyBorder="1" applyAlignment="1" applyProtection="1">
      <alignment horizontal="center" vertical="center"/>
      <protection hidden="1"/>
    </xf>
    <xf numFmtId="0" fontId="29" fillId="25" borderId="157" xfId="0" applyFont="1" applyFill="1" applyBorder="1" applyAlignment="1" applyProtection="1">
      <alignment horizontal="center" vertical="center"/>
      <protection hidden="1"/>
    </xf>
    <xf numFmtId="0" fontId="29" fillId="25" borderId="154" xfId="0" applyFont="1" applyFill="1" applyBorder="1" applyAlignment="1" applyProtection="1">
      <alignment horizontal="center" vertical="center"/>
      <protection hidden="1"/>
    </xf>
    <xf numFmtId="0" fontId="29" fillId="25" borderId="105" xfId="0" applyFont="1" applyFill="1" applyBorder="1" applyAlignment="1" applyProtection="1">
      <alignment vertical="center" wrapText="1"/>
      <protection hidden="1"/>
    </xf>
    <xf numFmtId="0" fontId="29" fillId="25" borderId="104" xfId="0" applyFont="1" applyFill="1" applyBorder="1" applyAlignment="1" applyProtection="1">
      <alignment vertical="center" wrapText="1"/>
      <protection hidden="1"/>
    </xf>
    <xf numFmtId="0" fontId="29" fillId="25" borderId="103" xfId="0" applyFont="1" applyFill="1" applyBorder="1" applyProtection="1">
      <alignment vertical="center"/>
      <protection hidden="1"/>
    </xf>
    <xf numFmtId="186" fontId="27" fillId="29" borderId="10" xfId="0" applyNumberFormat="1" applyFont="1" applyFill="1" applyBorder="1" applyAlignment="1">
      <alignment horizontal="center" vertical="center"/>
    </xf>
    <xf numFmtId="186" fontId="27" fillId="29" borderId="48" xfId="0" applyNumberFormat="1" applyFont="1" applyFill="1" applyBorder="1" applyAlignment="1">
      <alignment horizontal="center" vertical="center"/>
    </xf>
    <xf numFmtId="2" fontId="29" fillId="29" borderId="27" xfId="0" applyNumberFormat="1" applyFont="1" applyFill="1" applyBorder="1" applyAlignment="1" applyProtection="1">
      <alignment horizontal="centerContinuous" vertical="center"/>
      <protection hidden="1"/>
    </xf>
    <xf numFmtId="0" fontId="29" fillId="29" borderId="50" xfId="0" applyFont="1" applyFill="1" applyBorder="1" applyAlignment="1" applyProtection="1">
      <alignment horizontal="centerContinuous" vertical="center"/>
      <protection hidden="1"/>
    </xf>
    <xf numFmtId="0" fontId="8" fillId="37" borderId="122" xfId="47" applyFont="1" applyFill="1" applyBorder="1" applyProtection="1">
      <alignment vertical="center"/>
      <protection hidden="1"/>
    </xf>
    <xf numFmtId="0" fontId="8" fillId="37" borderId="122" xfId="47" applyFont="1" applyFill="1" applyBorder="1" applyAlignment="1" applyProtection="1">
      <alignment vertical="center" shrinkToFit="1"/>
      <protection hidden="1"/>
    </xf>
    <xf numFmtId="0" fontId="24" fillId="37" borderId="60" xfId="47" applyFont="1" applyFill="1" applyBorder="1" applyProtection="1">
      <alignment vertical="center"/>
      <protection hidden="1"/>
    </xf>
    <xf numFmtId="0" fontId="24" fillId="37" borderId="83" xfId="47" applyFont="1" applyFill="1" applyBorder="1" applyProtection="1">
      <alignment vertical="center"/>
      <protection hidden="1"/>
    </xf>
    <xf numFmtId="0" fontId="8" fillId="37" borderId="128" xfId="47" applyFont="1" applyFill="1" applyBorder="1" applyAlignment="1" applyProtection="1">
      <alignment horizontal="left" vertical="center"/>
      <protection hidden="1"/>
    </xf>
    <xf numFmtId="0" fontId="29" fillId="25" borderId="103" xfId="0" applyFont="1" applyFill="1" applyBorder="1" applyAlignment="1" applyProtection="1">
      <alignment horizontal="left" vertical="center"/>
      <protection hidden="1"/>
    </xf>
    <xf numFmtId="0" fontId="29" fillId="29" borderId="47" xfId="0" applyFont="1" applyFill="1" applyBorder="1" applyProtection="1">
      <alignment vertical="center"/>
      <protection hidden="1"/>
    </xf>
    <xf numFmtId="0" fontId="29" fillId="25" borderId="12" xfId="0" applyFont="1" applyFill="1" applyBorder="1" applyProtection="1">
      <alignment vertical="center"/>
      <protection hidden="1"/>
    </xf>
    <xf numFmtId="0" fontId="29" fillId="25" borderId="13" xfId="0" applyFont="1" applyFill="1" applyBorder="1" applyProtection="1">
      <alignment vertical="center"/>
      <protection hidden="1"/>
    </xf>
    <xf numFmtId="0" fontId="136" fillId="37" borderId="0" xfId="0" applyFont="1" applyFill="1">
      <alignment vertical="center"/>
    </xf>
    <xf numFmtId="56" fontId="62" fillId="28" borderId="158" xfId="0" applyNumberFormat="1" applyFont="1" applyFill="1" applyBorder="1" applyProtection="1">
      <alignment vertical="center"/>
      <protection hidden="1"/>
    </xf>
    <xf numFmtId="0" fontId="62" fillId="28" borderId="159" xfId="0" applyFont="1" applyFill="1" applyBorder="1" applyAlignment="1" applyProtection="1">
      <alignment horizontal="left" vertical="center"/>
      <protection hidden="1"/>
    </xf>
    <xf numFmtId="0" fontId="62" fillId="28" borderId="160" xfId="0" applyFont="1" applyFill="1" applyBorder="1" applyAlignment="1" applyProtection="1">
      <alignment horizontal="left" vertical="center"/>
      <protection hidden="1"/>
    </xf>
    <xf numFmtId="56" fontId="62" fillId="28" borderId="56" xfId="0" applyNumberFormat="1" applyFont="1" applyFill="1" applyBorder="1" applyProtection="1">
      <alignment vertical="center"/>
      <protection hidden="1"/>
    </xf>
    <xf numFmtId="0" fontId="62" fillId="28" borderId="57" xfId="0" applyFont="1" applyFill="1" applyBorder="1" applyAlignment="1" applyProtection="1">
      <alignment horizontal="left" vertical="center"/>
      <protection hidden="1"/>
    </xf>
    <xf numFmtId="0" fontId="62" fillId="28" borderId="58" xfId="0" applyFont="1" applyFill="1" applyBorder="1" applyAlignment="1" applyProtection="1">
      <alignment horizontal="left" vertical="center"/>
      <protection hidden="1"/>
    </xf>
    <xf numFmtId="0" fontId="62" fillId="28" borderId="158" xfId="0" applyFont="1" applyFill="1" applyBorder="1" applyProtection="1">
      <alignment vertical="center"/>
      <protection hidden="1"/>
    </xf>
    <xf numFmtId="0" fontId="78" fillId="28" borderId="159" xfId="0" applyFont="1" applyFill="1" applyBorder="1" applyAlignment="1" applyProtection="1">
      <alignment horizontal="right" vertical="center"/>
      <protection hidden="1"/>
    </xf>
    <xf numFmtId="0" fontId="78" fillId="28" borderId="159" xfId="0" applyFont="1" applyFill="1" applyBorder="1" applyProtection="1">
      <alignment vertical="center"/>
      <protection hidden="1"/>
    </xf>
    <xf numFmtId="0" fontId="79" fillId="28" borderId="159" xfId="0" applyFont="1" applyFill="1" applyBorder="1" applyProtection="1">
      <alignment vertical="center"/>
      <protection hidden="1"/>
    </xf>
    <xf numFmtId="178" fontId="29" fillId="43" borderId="49" xfId="0" applyNumberFormat="1" applyFont="1" applyFill="1" applyBorder="1" applyAlignment="1" applyProtection="1">
      <alignment horizontal="left" vertical="center"/>
      <protection hidden="1"/>
    </xf>
    <xf numFmtId="186" fontId="27" fillId="43" borderId="91"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185" fontId="29" fillId="0" borderId="0" xfId="34" applyNumberFormat="1" applyFont="1" applyBorder="1" applyAlignment="1" applyProtection="1">
      <alignment horizontal="center" vertical="center"/>
      <protection hidden="1"/>
    </xf>
    <xf numFmtId="0" fontId="29" fillId="25" borderId="78" xfId="0" applyFont="1" applyFill="1" applyBorder="1" applyAlignment="1" applyProtection="1">
      <alignment horizontal="center" vertical="center"/>
      <protection hidden="1"/>
    </xf>
    <xf numFmtId="0" fontId="29" fillId="25" borderId="99" xfId="0" applyFont="1" applyFill="1" applyBorder="1" applyAlignment="1" applyProtection="1">
      <alignment vertical="center" wrapText="1"/>
      <protection hidden="1"/>
    </xf>
    <xf numFmtId="0" fontId="29" fillId="25" borderId="82" xfId="0" applyFont="1" applyFill="1" applyBorder="1" applyAlignment="1" applyProtection="1">
      <alignment vertical="center" wrapText="1"/>
      <protection hidden="1"/>
    </xf>
    <xf numFmtId="0" fontId="29" fillId="25" borderId="59" xfId="0" applyFont="1" applyFill="1" applyBorder="1" applyAlignment="1" applyProtection="1">
      <alignment vertical="center" wrapText="1"/>
      <protection hidden="1"/>
    </xf>
    <xf numFmtId="0" fontId="29" fillId="25" borderId="161" xfId="0" applyFont="1" applyFill="1" applyBorder="1" applyAlignment="1" applyProtection="1">
      <alignment vertical="center" wrapText="1"/>
      <protection hidden="1"/>
    </xf>
    <xf numFmtId="0" fontId="29" fillId="25" borderId="163" xfId="0" applyFont="1" applyFill="1" applyBorder="1" applyAlignment="1" applyProtection="1">
      <alignment vertical="center" wrapText="1"/>
      <protection hidden="1"/>
    </xf>
    <xf numFmtId="0" fontId="29" fillId="25" borderId="164" xfId="0" applyFont="1" applyFill="1" applyBorder="1" applyAlignment="1" applyProtection="1">
      <alignment vertical="center" wrapText="1"/>
      <protection hidden="1"/>
    </xf>
    <xf numFmtId="0" fontId="29" fillId="25" borderId="162" xfId="0" applyFont="1" applyFill="1" applyBorder="1" applyAlignment="1" applyProtection="1">
      <alignment vertical="center" wrapText="1"/>
      <protection hidden="1"/>
    </xf>
    <xf numFmtId="0" fontId="29" fillId="29" borderId="49" xfId="0" applyFont="1" applyFill="1" applyBorder="1" applyAlignment="1" applyProtection="1">
      <alignment horizontal="centerContinuous" vertical="center"/>
      <protection hidden="1"/>
    </xf>
    <xf numFmtId="0" fontId="29" fillId="29" borderId="51" xfId="0" applyFont="1" applyFill="1" applyBorder="1" applyAlignment="1" applyProtection="1">
      <alignment horizontal="centerContinuous" vertical="center"/>
      <protection hidden="1"/>
    </xf>
    <xf numFmtId="0" fontId="29" fillId="25" borderId="12" xfId="0" applyFont="1" applyFill="1" applyBorder="1" applyAlignment="1" applyProtection="1">
      <alignment vertical="center" wrapText="1"/>
      <protection hidden="1"/>
    </xf>
    <xf numFmtId="0" fontId="29" fillId="41" borderId="26" xfId="0" applyFont="1" applyFill="1" applyBorder="1" applyAlignment="1" applyProtection="1">
      <alignment horizontal="centerContinuous" vertical="center"/>
      <protection hidden="1"/>
    </xf>
    <xf numFmtId="0" fontId="29" fillId="41" borderId="10"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wrapText="1"/>
      <protection hidden="1"/>
    </xf>
    <xf numFmtId="0" fontId="29" fillId="25" borderId="11" xfId="0" applyFont="1" applyFill="1" applyBorder="1" applyAlignment="1" applyProtection="1">
      <alignment horizontal="center" vertical="center" wrapText="1"/>
      <protection hidden="1"/>
    </xf>
    <xf numFmtId="189" fontId="29" fillId="25" borderId="85"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horizontal="center" vertical="center" wrapText="1"/>
      <protection hidden="1"/>
    </xf>
    <xf numFmtId="0" fontId="136" fillId="37" borderId="100" xfId="0" applyFont="1" applyFill="1" applyBorder="1" applyAlignment="1">
      <alignment vertical="center" wrapText="1"/>
    </xf>
    <xf numFmtId="0" fontId="136" fillId="37" borderId="13" xfId="0" applyFont="1" applyFill="1" applyBorder="1" applyAlignment="1">
      <alignment vertical="center" wrapText="1"/>
    </xf>
    <xf numFmtId="0" fontId="136" fillId="37" borderId="14" xfId="0" applyFont="1" applyFill="1" applyBorder="1" applyAlignment="1">
      <alignment vertical="center" wrapText="1"/>
    </xf>
    <xf numFmtId="0" fontId="136" fillId="37" borderId="98" xfId="0" applyFont="1" applyFill="1" applyBorder="1">
      <alignment vertical="center"/>
    </xf>
    <xf numFmtId="0" fontId="136" fillId="37" borderId="99" xfId="0" applyFont="1" applyFill="1" applyBorder="1">
      <alignment vertical="center"/>
    </xf>
    <xf numFmtId="0" fontId="136" fillId="37" borderId="12" xfId="0" applyFont="1" applyFill="1" applyBorder="1">
      <alignment vertical="center"/>
    </xf>
    <xf numFmtId="0" fontId="136" fillId="37" borderId="13" xfId="0" applyFont="1" applyFill="1" applyBorder="1">
      <alignment vertical="center"/>
    </xf>
    <xf numFmtId="0" fontId="34" fillId="38" borderId="10" xfId="0" applyFont="1" applyFill="1" applyBorder="1" applyAlignment="1" applyProtection="1">
      <alignment horizontal="center" vertical="center" shrinkToFit="1"/>
      <protection locked="0" hidden="1"/>
    </xf>
    <xf numFmtId="182" fontId="37" fillId="37" borderId="122" xfId="47" applyNumberFormat="1" applyFont="1" applyFill="1" applyBorder="1" applyAlignment="1">
      <alignment horizontal="center" vertical="center"/>
    </xf>
    <xf numFmtId="182" fontId="37" fillId="37" borderId="126" xfId="47" applyNumberFormat="1" applyFont="1" applyFill="1" applyBorder="1" applyAlignment="1">
      <alignment horizontal="center" vertical="center"/>
    </xf>
    <xf numFmtId="182" fontId="37" fillId="37" borderId="125" xfId="47" applyNumberFormat="1" applyFont="1" applyFill="1" applyBorder="1" applyAlignment="1">
      <alignment horizontal="center" vertical="center"/>
    </xf>
    <xf numFmtId="182" fontId="37" fillId="37" borderId="122" xfId="47" quotePrefix="1" applyNumberFormat="1" applyFont="1" applyFill="1" applyBorder="1" applyAlignment="1">
      <alignment horizontal="center" vertical="center"/>
    </xf>
    <xf numFmtId="0" fontId="29" fillId="25" borderId="14" xfId="0" applyFont="1" applyFill="1" applyBorder="1" applyProtection="1">
      <alignment vertical="center"/>
      <protection hidden="1"/>
    </xf>
    <xf numFmtId="0" fontId="29" fillId="37" borderId="26" xfId="0" applyFont="1" applyFill="1" applyBorder="1" applyAlignment="1">
      <alignment horizontal="center" vertical="center"/>
    </xf>
    <xf numFmtId="0" fontId="29" fillId="37" borderId="26" xfId="0" applyFont="1" applyFill="1" applyBorder="1" applyAlignment="1">
      <alignment horizontal="left" vertical="center"/>
    </xf>
    <xf numFmtId="0" fontId="29" fillId="37" borderId="47" xfId="0" applyFont="1" applyFill="1" applyBorder="1" applyAlignment="1">
      <alignment horizontal="left" vertical="center"/>
    </xf>
    <xf numFmtId="0" fontId="29" fillId="37" borderId="27" xfId="0" applyFont="1" applyFill="1" applyBorder="1" applyAlignment="1">
      <alignment horizontal="left" vertical="center"/>
    </xf>
    <xf numFmtId="0" fontId="29" fillId="25" borderId="100" xfId="0" applyFont="1" applyFill="1" applyBorder="1" applyProtection="1">
      <alignment vertical="center"/>
      <protection hidden="1"/>
    </xf>
    <xf numFmtId="0" fontId="29" fillId="25" borderId="13"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protection hidden="1"/>
    </xf>
    <xf numFmtId="0" fontId="29" fillId="25" borderId="136" xfId="0" applyFont="1" applyFill="1" applyBorder="1" applyProtection="1">
      <alignment vertical="center"/>
      <protection hidden="1"/>
    </xf>
    <xf numFmtId="0" fontId="29" fillId="25" borderId="137" xfId="0" applyFont="1" applyFill="1" applyBorder="1" applyProtection="1">
      <alignment vertical="center"/>
      <protection hidden="1"/>
    </xf>
    <xf numFmtId="0" fontId="29" fillId="25" borderId="138" xfId="0" applyFont="1" applyFill="1" applyBorder="1" applyProtection="1">
      <alignment vertical="center"/>
      <protection hidden="1"/>
    </xf>
    <xf numFmtId="0" fontId="29" fillId="25" borderId="105" xfId="0" applyFont="1" applyFill="1" applyBorder="1" applyProtection="1">
      <alignment vertical="center"/>
      <protection hidden="1"/>
    </xf>
    <xf numFmtId="0" fontId="29" fillId="25" borderId="104" xfId="0" applyFont="1" applyFill="1" applyBorder="1" applyProtection="1">
      <alignment vertical="center"/>
      <protection hidden="1"/>
    </xf>
    <xf numFmtId="9" fontId="29" fillId="25" borderId="165" xfId="0" applyNumberFormat="1" applyFont="1" applyFill="1" applyBorder="1" applyAlignment="1" applyProtection="1">
      <alignment horizontal="center" vertical="center"/>
      <protection locked="0" hidden="1"/>
    </xf>
    <xf numFmtId="0" fontId="29" fillId="25" borderId="166" xfId="0" applyFont="1" applyFill="1" applyBorder="1" applyAlignment="1" applyProtection="1">
      <alignment horizontal="center" vertical="center"/>
      <protection hidden="1"/>
    </xf>
    <xf numFmtId="0" fontId="29" fillId="25" borderId="52" xfId="0" applyFont="1" applyFill="1" applyBorder="1" applyAlignment="1" applyProtection="1">
      <alignment horizontal="center" vertical="center"/>
      <protection hidden="1"/>
    </xf>
    <xf numFmtId="0" fontId="137" fillId="0" borderId="0" xfId="0" applyFont="1" applyAlignment="1" applyProtection="1">
      <alignment horizontal="center" vertical="center"/>
      <protection hidden="1"/>
    </xf>
    <xf numFmtId="0" fontId="138" fillId="0" borderId="0" xfId="0" applyFont="1" applyAlignment="1" applyProtection="1">
      <alignment horizontal="right" vertical="center"/>
      <protection hidden="1"/>
    </xf>
    <xf numFmtId="0" fontId="140" fillId="25" borderId="0" xfId="0" applyFont="1" applyFill="1" applyAlignment="1">
      <alignment horizontal="right" vertical="center"/>
    </xf>
    <xf numFmtId="0" fontId="6" fillId="31" borderId="49" xfId="0" applyFont="1" applyFill="1" applyBorder="1" applyProtection="1">
      <alignment vertical="center"/>
      <protection hidden="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106" fillId="0" borderId="0" xfId="0" applyFont="1">
      <alignment vertical="center"/>
    </xf>
    <xf numFmtId="0" fontId="46" fillId="0" borderId="0" xfId="0" applyFont="1" applyAlignment="1" applyProtection="1">
      <alignment horizontal="left" vertical="center"/>
      <protection hidden="1"/>
    </xf>
    <xf numFmtId="0" fontId="24" fillId="0" borderId="0" xfId="0" applyFont="1" applyAlignment="1">
      <alignment horizontal="left" vertical="center"/>
    </xf>
    <xf numFmtId="0" fontId="64" fillId="0" borderId="0" xfId="0" applyFont="1" applyAlignment="1">
      <alignment horizontal="left" vertical="center"/>
    </xf>
    <xf numFmtId="178" fontId="29" fillId="29" borderId="47" xfId="0" applyNumberFormat="1" applyFont="1" applyFill="1" applyBorder="1" applyAlignment="1" applyProtection="1">
      <alignment horizontal="center" vertical="center"/>
      <protection hidden="1"/>
    </xf>
    <xf numFmtId="0" fontId="29" fillId="29" borderId="27" xfId="0" applyFont="1" applyFill="1" applyBorder="1" applyAlignment="1" applyProtection="1">
      <alignment horizontal="center" vertical="center"/>
      <protection hidden="1"/>
    </xf>
    <xf numFmtId="0" fontId="34" fillId="0" borderId="0" xfId="0" applyFont="1" applyAlignment="1">
      <alignment horizontal="right" vertical="center"/>
    </xf>
    <xf numFmtId="0" fontId="38" fillId="0" borderId="0" xfId="0" applyFont="1">
      <alignment vertical="center"/>
    </xf>
    <xf numFmtId="0" fontId="27" fillId="0" borderId="0" xfId="0" applyFont="1">
      <alignment vertical="center"/>
    </xf>
    <xf numFmtId="0" fontId="24" fillId="37" borderId="0" xfId="47" applyFont="1" applyFill="1" applyAlignment="1" applyProtection="1">
      <alignment horizontal="left" vertical="center"/>
      <protection hidden="1"/>
    </xf>
    <xf numFmtId="179" fontId="29" fillId="37" borderId="74" xfId="0" applyNumberFormat="1" applyFont="1" applyFill="1" applyBorder="1" applyAlignment="1" applyProtection="1">
      <alignment horizontal="left" vertical="center" wrapText="1"/>
      <protection locked="0"/>
    </xf>
    <xf numFmtId="179" fontId="29" fillId="37" borderId="54" xfId="0" applyNumberFormat="1" applyFont="1" applyFill="1" applyBorder="1" applyAlignment="1" applyProtection="1">
      <alignment horizontal="left" vertical="center" wrapText="1"/>
      <protection locked="0"/>
    </xf>
    <xf numFmtId="179" fontId="38" fillId="37" borderId="55" xfId="0" applyNumberFormat="1" applyFont="1" applyFill="1" applyBorder="1" applyAlignment="1" applyProtection="1">
      <alignment horizontal="left" wrapText="1"/>
      <protection locked="0"/>
    </xf>
    <xf numFmtId="182" fontId="37" fillId="37" borderId="127" xfId="47" applyNumberFormat="1" applyFont="1" applyFill="1" applyBorder="1" applyAlignment="1">
      <alignment horizontal="center" vertical="center"/>
    </xf>
    <xf numFmtId="0" fontId="43" fillId="37" borderId="74" xfId="47" applyFont="1" applyFill="1" applyBorder="1" applyAlignment="1" applyProtection="1">
      <alignment horizontal="center"/>
      <protection hidden="1"/>
    </xf>
    <xf numFmtId="0" fontId="43" fillId="37" borderId="74" xfId="47" applyFont="1" applyFill="1" applyBorder="1" applyAlignment="1" applyProtection="1">
      <alignment horizontal="center" vertical="center"/>
      <protection hidden="1"/>
    </xf>
    <xf numFmtId="0" fontId="0" fillId="37" borderId="122" xfId="47" applyFont="1" applyFill="1" applyBorder="1" applyAlignment="1" applyProtection="1">
      <alignment horizontal="left" vertical="center" shrinkToFit="1"/>
      <protection hidden="1"/>
    </xf>
    <xf numFmtId="0" fontId="43" fillId="37" borderId="74" xfId="47" quotePrefix="1" applyFont="1" applyFill="1" applyBorder="1" applyAlignment="1" applyProtection="1">
      <alignment horizontal="left" vertical="center"/>
      <protection hidden="1"/>
    </xf>
    <xf numFmtId="0" fontId="43" fillId="37" borderId="88" xfId="47" quotePrefix="1" applyFont="1" applyFill="1" applyBorder="1" applyAlignment="1" applyProtection="1">
      <alignment horizontal="center" vertical="center"/>
      <protection hidden="1"/>
    </xf>
    <xf numFmtId="0" fontId="43" fillId="37" borderId="87" xfId="47" applyFont="1" applyFill="1" applyBorder="1" applyProtection="1">
      <alignment vertical="center"/>
      <protection hidden="1"/>
    </xf>
    <xf numFmtId="0" fontId="43" fillId="29" borderId="65" xfId="0" applyFont="1" applyFill="1" applyBorder="1" applyProtection="1">
      <alignment vertical="center"/>
      <protection hidden="1"/>
    </xf>
    <xf numFmtId="0" fontId="24" fillId="29" borderId="66" xfId="0" applyFont="1" applyFill="1" applyBorder="1" applyAlignment="1" applyProtection="1">
      <alignment horizontal="left" vertical="center"/>
      <protection hidden="1"/>
    </xf>
    <xf numFmtId="0" fontId="0" fillId="29" borderId="68" xfId="0" applyFill="1" applyBorder="1" applyAlignment="1" applyProtection="1">
      <alignment horizontal="left" vertical="center"/>
      <protection hidden="1"/>
    </xf>
    <xf numFmtId="179" fontId="38" fillId="29" borderId="65" xfId="0" applyNumberFormat="1" applyFont="1" applyFill="1" applyBorder="1" applyAlignment="1" applyProtection="1">
      <alignment horizontal="left" vertical="center"/>
      <protection hidden="1"/>
    </xf>
    <xf numFmtId="179" fontId="38" fillId="29" borderId="66" xfId="0" applyNumberFormat="1" applyFont="1" applyFill="1" applyBorder="1" applyAlignment="1" applyProtection="1">
      <alignment horizontal="left" vertical="center"/>
      <protection hidden="1"/>
    </xf>
    <xf numFmtId="188" fontId="46" fillId="29" borderId="167" xfId="0" applyNumberFormat="1" applyFont="1" applyFill="1" applyBorder="1" applyAlignment="1" applyProtection="1">
      <alignment horizontal="center" vertical="center"/>
      <protection hidden="1"/>
    </xf>
    <xf numFmtId="0" fontId="141" fillId="0" borderId="0" xfId="0" applyFont="1" applyAlignment="1" applyProtection="1">
      <alignment horizontal="center" vertical="center"/>
      <protection hidden="1"/>
    </xf>
    <xf numFmtId="0" fontId="43" fillId="37" borderId="62" xfId="47" applyFont="1" applyFill="1" applyBorder="1" applyAlignment="1" applyProtection="1">
      <alignment horizontal="center"/>
      <protection hidden="1"/>
    </xf>
    <xf numFmtId="0" fontId="24" fillId="37" borderId="92" xfId="47" applyFont="1" applyFill="1" applyBorder="1" applyProtection="1">
      <alignment vertical="center"/>
      <protection hidden="1"/>
    </xf>
    <xf numFmtId="0" fontId="24" fillId="37" borderId="90" xfId="47" applyFont="1" applyFill="1" applyBorder="1" applyAlignment="1" applyProtection="1">
      <alignment vertical="center" shrinkToFit="1"/>
      <protection hidden="1"/>
    </xf>
    <xf numFmtId="0" fontId="106" fillId="0" borderId="0" xfId="0" applyFont="1" applyAlignment="1">
      <alignment horizontal="right" vertical="center"/>
    </xf>
    <xf numFmtId="0" fontId="114" fillId="0" borderId="0" xfId="0" applyFont="1">
      <alignment vertical="center"/>
    </xf>
    <xf numFmtId="0" fontId="29" fillId="37" borderId="27" xfId="0" applyFont="1" applyFill="1" applyBorder="1" applyAlignment="1" applyProtection="1">
      <alignment horizontal="centerContinuous" vertical="center"/>
      <protection hidden="1"/>
    </xf>
    <xf numFmtId="0" fontId="29" fillId="37" borderId="26" xfId="0" applyFont="1" applyFill="1" applyBorder="1" applyAlignment="1" applyProtection="1">
      <alignment horizontal="centerContinuous" vertical="center"/>
      <protection hidden="1"/>
    </xf>
    <xf numFmtId="0" fontId="29" fillId="25" borderId="26" xfId="0" applyFont="1" applyFill="1" applyBorder="1" applyAlignment="1" applyProtection="1">
      <alignment horizontal="center" vertical="center"/>
      <protection hidden="1"/>
    </xf>
    <xf numFmtId="0" fontId="29" fillId="25" borderId="98" xfId="0" applyFont="1" applyFill="1" applyBorder="1" applyAlignment="1" applyProtection="1">
      <alignment horizontal="center" vertical="center"/>
      <protection hidden="1"/>
    </xf>
    <xf numFmtId="0" fontId="29" fillId="25" borderId="12" xfId="0" applyFont="1" applyFill="1" applyBorder="1" applyAlignment="1" applyProtection="1">
      <alignment horizontal="center" vertical="center"/>
      <protection hidden="1"/>
    </xf>
    <xf numFmtId="0" fontId="29" fillId="25" borderId="103" xfId="0" applyFont="1" applyFill="1" applyBorder="1" applyAlignment="1" applyProtection="1">
      <alignment horizontal="center" vertical="center"/>
      <protection hidden="1"/>
    </xf>
    <xf numFmtId="0" fontId="114" fillId="25" borderId="105" xfId="0" applyFont="1" applyFill="1" applyBorder="1" applyAlignment="1" applyProtection="1">
      <alignment vertical="center" wrapText="1"/>
      <protection hidden="1"/>
    </xf>
    <xf numFmtId="189" fontId="29" fillId="38" borderId="106" xfId="0" applyNumberFormat="1" applyFont="1" applyFill="1" applyBorder="1" applyAlignment="1" applyProtection="1">
      <alignment horizontal="center" vertical="center"/>
      <protection locked="0" hidden="1"/>
    </xf>
    <xf numFmtId="189" fontId="29" fillId="38" borderId="107" xfId="0" applyNumberFormat="1" applyFont="1" applyFill="1" applyBorder="1" applyAlignment="1" applyProtection="1">
      <alignment horizontal="center" vertical="center"/>
      <protection locked="0" hidden="1"/>
    </xf>
    <xf numFmtId="189" fontId="29" fillId="38" borderId="91" xfId="0" applyNumberFormat="1" applyFont="1" applyFill="1" applyBorder="1" applyAlignment="1" applyProtection="1">
      <alignment horizontal="center" vertical="center"/>
      <protection locked="0" hidden="1"/>
    </xf>
    <xf numFmtId="0" fontId="29" fillId="37" borderId="79" xfId="0" applyFont="1" applyFill="1" applyBorder="1" applyAlignment="1">
      <alignment horizontal="left" vertical="center"/>
    </xf>
    <xf numFmtId="0" fontId="29" fillId="37" borderId="77" xfId="0" applyFont="1" applyFill="1" applyBorder="1" applyAlignment="1">
      <alignment horizontal="right" vertical="center"/>
    </xf>
    <xf numFmtId="0" fontId="29" fillId="37" borderId="47" xfId="0" applyFont="1" applyFill="1" applyBorder="1" applyAlignment="1">
      <alignment horizontal="center" vertical="center"/>
    </xf>
    <xf numFmtId="0" fontId="29" fillId="37" borderId="50" xfId="0" applyFont="1" applyFill="1" applyBorder="1" applyAlignment="1">
      <alignment horizontal="center" vertical="center"/>
    </xf>
    <xf numFmtId="0" fontId="0" fillId="37" borderId="48" xfId="0" applyFill="1" applyBorder="1">
      <alignment vertical="center"/>
    </xf>
    <xf numFmtId="0" fontId="0" fillId="37" borderId="15" xfId="0" applyFill="1" applyBorder="1">
      <alignment vertical="center"/>
    </xf>
    <xf numFmtId="0" fontId="29" fillId="37" borderId="26" xfId="0" applyFont="1" applyFill="1" applyBorder="1">
      <alignment vertical="center"/>
    </xf>
    <xf numFmtId="0" fontId="29" fillId="37" borderId="47" xfId="0" applyFont="1" applyFill="1" applyBorder="1">
      <alignment vertical="center"/>
    </xf>
    <xf numFmtId="0" fontId="29" fillId="37" borderId="26" xfId="0" applyFont="1" applyFill="1" applyBorder="1" applyAlignment="1">
      <alignment horizontal="center" vertical="center" wrapText="1"/>
    </xf>
    <xf numFmtId="0" fontId="29" fillId="37" borderId="27" xfId="0" applyFont="1" applyFill="1" applyBorder="1">
      <alignment vertical="center"/>
    </xf>
    <xf numFmtId="0" fontId="24" fillId="37" borderId="53" xfId="0" applyFont="1" applyFill="1" applyBorder="1" applyAlignment="1">
      <alignment horizontal="center" vertical="center"/>
    </xf>
    <xf numFmtId="0" fontId="0" fillId="37" borderId="48" xfId="0" applyFill="1" applyBorder="1" applyAlignment="1">
      <alignment horizontal="center" vertical="center"/>
    </xf>
    <xf numFmtId="179" fontId="98" fillId="0" borderId="0" xfId="47" applyNumberFormat="1" applyFont="1" applyAlignment="1" applyProtection="1">
      <alignment horizontal="left"/>
      <protection hidden="1"/>
    </xf>
    <xf numFmtId="179" fontId="27" fillId="0" borderId="0" xfId="47" applyNumberFormat="1" applyFont="1" applyAlignment="1" applyProtection="1">
      <alignment horizontal="left"/>
      <protection hidden="1"/>
    </xf>
    <xf numFmtId="0" fontId="61" fillId="30" borderId="65" xfId="0" applyFont="1" applyFill="1" applyBorder="1" applyProtection="1">
      <alignment vertical="center"/>
      <protection hidden="1"/>
    </xf>
    <xf numFmtId="0" fontId="105" fillId="30" borderId="66" xfId="0" applyFont="1" applyFill="1" applyBorder="1" applyAlignment="1" applyProtection="1">
      <alignment horizontal="left" vertical="center"/>
      <protection hidden="1"/>
    </xf>
    <xf numFmtId="0" fontId="145" fillId="39" borderId="56" xfId="47" applyFont="1" applyFill="1" applyBorder="1" applyProtection="1">
      <alignment vertical="center"/>
      <protection hidden="1"/>
    </xf>
    <xf numFmtId="0" fontId="146" fillId="39" borderId="57" xfId="47" applyFont="1" applyFill="1" applyBorder="1" applyAlignment="1" applyProtection="1">
      <alignment horizontal="left" vertical="center"/>
      <protection hidden="1"/>
    </xf>
    <xf numFmtId="181" fontId="145" fillId="39" borderId="57" xfId="47" applyNumberFormat="1" applyFont="1" applyFill="1" applyBorder="1" applyAlignment="1" applyProtection="1">
      <alignment horizontal="center" vertical="center"/>
      <protection hidden="1"/>
    </xf>
    <xf numFmtId="181" fontId="61" fillId="30" borderId="66" xfId="0" applyNumberFormat="1" applyFont="1" applyFill="1" applyBorder="1" applyAlignment="1" applyProtection="1">
      <alignment horizontal="center" vertical="center"/>
      <protection hidden="1"/>
    </xf>
    <xf numFmtId="0" fontId="43" fillId="29" borderId="69" xfId="0" applyFont="1" applyFill="1" applyBorder="1" applyProtection="1">
      <alignment vertical="center"/>
      <protection hidden="1"/>
    </xf>
    <xf numFmtId="0" fontId="24" fillId="41" borderId="70" xfId="0" applyFont="1" applyFill="1" applyBorder="1" applyAlignment="1" applyProtection="1">
      <alignment horizontal="left" vertical="center"/>
      <protection hidden="1"/>
    </xf>
    <xf numFmtId="0" fontId="0" fillId="41" borderId="70" xfId="0" applyFill="1" applyBorder="1" applyAlignment="1" applyProtection="1">
      <alignment horizontal="left" vertical="center"/>
      <protection hidden="1"/>
    </xf>
    <xf numFmtId="188" fontId="46" fillId="41" borderId="142" xfId="0" applyNumberFormat="1" applyFont="1" applyFill="1" applyBorder="1" applyAlignment="1" applyProtection="1">
      <alignment horizontal="center" vertical="center"/>
      <protection hidden="1"/>
    </xf>
    <xf numFmtId="0" fontId="0" fillId="37" borderId="99" xfId="0" applyFill="1" applyBorder="1">
      <alignment vertical="center"/>
    </xf>
    <xf numFmtId="0" fontId="118" fillId="37" borderId="99" xfId="47" applyFill="1" applyBorder="1">
      <alignment vertical="center"/>
    </xf>
    <xf numFmtId="0" fontId="0" fillId="37" borderId="13" xfId="0" applyFill="1" applyBorder="1">
      <alignment vertical="center"/>
    </xf>
    <xf numFmtId="0" fontId="118" fillId="37" borderId="13" xfId="47" applyFill="1" applyBorder="1">
      <alignment vertical="center"/>
    </xf>
    <xf numFmtId="179" fontId="132" fillId="39" borderId="168" xfId="47" applyNumberFormat="1" applyFont="1" applyFill="1" applyBorder="1" applyAlignment="1" applyProtection="1">
      <alignment horizontal="center" vertical="center"/>
      <protection hidden="1"/>
    </xf>
    <xf numFmtId="179" fontId="132" fillId="39" borderId="168" xfId="47" applyNumberFormat="1" applyFont="1" applyFill="1" applyBorder="1" applyAlignment="1" applyProtection="1">
      <alignment horizontal="center"/>
      <protection hidden="1"/>
    </xf>
    <xf numFmtId="179" fontId="38" fillId="30" borderId="169" xfId="0" applyNumberFormat="1" applyFont="1" applyFill="1" applyBorder="1" applyAlignment="1" applyProtection="1">
      <alignment horizontal="left" vertical="center"/>
      <protection hidden="1"/>
    </xf>
    <xf numFmtId="0" fontId="47" fillId="41" borderId="109" xfId="0" applyFont="1" applyFill="1" applyBorder="1" applyAlignment="1">
      <alignment horizontal="center" vertical="center"/>
    </xf>
    <xf numFmtId="0" fontId="47" fillId="37" borderId="16" xfId="0" applyFont="1" applyFill="1" applyBorder="1" applyAlignment="1">
      <alignment horizontal="center" vertical="center"/>
    </xf>
    <xf numFmtId="0" fontId="47" fillId="37" borderId="11" xfId="0" applyFont="1" applyFill="1" applyBorder="1" applyAlignment="1">
      <alignment horizontal="center" vertical="center"/>
    </xf>
    <xf numFmtId="0" fontId="147" fillId="37" borderId="16" xfId="47" applyFont="1" applyFill="1" applyBorder="1" applyAlignment="1">
      <alignment horizontal="center" vertical="center"/>
    </xf>
    <xf numFmtId="0" fontId="147" fillId="37" borderId="11" xfId="47" applyFont="1" applyFill="1" applyBorder="1" applyAlignment="1">
      <alignment horizontal="center" vertical="center"/>
    </xf>
    <xf numFmtId="0" fontId="0" fillId="37" borderId="110" xfId="0" applyFill="1" applyBorder="1">
      <alignment vertical="center"/>
    </xf>
    <xf numFmtId="0" fontId="47" fillId="37" borderId="170" xfId="0" applyFont="1" applyFill="1" applyBorder="1">
      <alignment vertical="center"/>
    </xf>
    <xf numFmtId="0" fontId="0" fillId="37" borderId="111" xfId="0" applyFill="1" applyBorder="1">
      <alignment vertical="center"/>
    </xf>
    <xf numFmtId="0" fontId="47" fillId="37" borderId="171" xfId="0" applyFont="1" applyFill="1" applyBorder="1">
      <alignment vertical="center"/>
    </xf>
    <xf numFmtId="0" fontId="118" fillId="37" borderId="172" xfId="47" applyFill="1" applyBorder="1">
      <alignment vertical="center"/>
    </xf>
    <xf numFmtId="0" fontId="118" fillId="37" borderId="173" xfId="47" applyFill="1" applyBorder="1">
      <alignment vertical="center"/>
    </xf>
    <xf numFmtId="0" fontId="147" fillId="37" borderId="174" xfId="47" applyFont="1" applyFill="1" applyBorder="1" applyAlignment="1">
      <alignment horizontal="center" vertical="center"/>
    </xf>
    <xf numFmtId="0" fontId="147" fillId="37" borderId="175" xfId="47" applyFont="1" applyFill="1" applyBorder="1">
      <alignment vertical="center"/>
    </xf>
    <xf numFmtId="0" fontId="118" fillId="37" borderId="110" xfId="47" applyFill="1" applyBorder="1">
      <alignment vertical="center"/>
    </xf>
    <xf numFmtId="0" fontId="147" fillId="37" borderId="170" xfId="47" applyFont="1" applyFill="1" applyBorder="1">
      <alignment vertical="center"/>
    </xf>
    <xf numFmtId="0" fontId="118" fillId="37" borderId="111" xfId="47" applyFill="1" applyBorder="1">
      <alignment vertical="center"/>
    </xf>
    <xf numFmtId="0" fontId="147" fillId="37" borderId="171" xfId="47" applyFont="1" applyFill="1" applyBorder="1">
      <alignment vertical="center"/>
    </xf>
    <xf numFmtId="0" fontId="43" fillId="29" borderId="56" xfId="0" applyFont="1" applyFill="1" applyBorder="1" applyProtection="1">
      <alignment vertical="center"/>
      <protection hidden="1"/>
    </xf>
    <xf numFmtId="0" fontId="24" fillId="41" borderId="57" xfId="0" applyFont="1" applyFill="1" applyBorder="1" applyAlignment="1" applyProtection="1">
      <alignment horizontal="left" vertical="center"/>
      <protection hidden="1"/>
    </xf>
    <xf numFmtId="0" fontId="0" fillId="41" borderId="57" xfId="0" applyFill="1" applyBorder="1" applyAlignment="1" applyProtection="1">
      <alignment horizontal="left" vertical="center"/>
      <protection hidden="1"/>
    </xf>
    <xf numFmtId="0" fontId="47" fillId="41" borderId="168" xfId="0" applyFont="1" applyFill="1" applyBorder="1" applyAlignment="1">
      <alignment horizontal="center" vertical="center"/>
    </xf>
    <xf numFmtId="0" fontId="0" fillId="37" borderId="173" xfId="0" applyFill="1" applyBorder="1">
      <alignment vertical="center"/>
    </xf>
    <xf numFmtId="181" fontId="47" fillId="41" borderId="109" xfId="0" applyNumberFormat="1" applyFont="1" applyFill="1" applyBorder="1" applyAlignment="1">
      <alignment horizontal="center" vertical="center"/>
    </xf>
    <xf numFmtId="188" fontId="123" fillId="44" borderId="142" xfId="0" applyNumberFormat="1" applyFont="1" applyFill="1" applyBorder="1" applyAlignment="1" applyProtection="1">
      <alignment horizontal="center" vertical="center"/>
      <protection hidden="1"/>
    </xf>
    <xf numFmtId="2" fontId="64" fillId="41" borderId="109" xfId="0" applyNumberFormat="1" applyFont="1" applyFill="1" applyBorder="1" applyAlignment="1">
      <alignment horizontal="center" vertical="center"/>
    </xf>
    <xf numFmtId="2" fontId="47" fillId="37" borderId="16" xfId="0" applyNumberFormat="1" applyFont="1" applyFill="1" applyBorder="1" applyAlignment="1">
      <alignment horizontal="center" vertical="center"/>
    </xf>
    <xf numFmtId="2" fontId="47" fillId="37" borderId="11" xfId="0" applyNumberFormat="1" applyFont="1" applyFill="1" applyBorder="1" applyAlignment="1">
      <alignment horizontal="center" vertical="center"/>
    </xf>
    <xf numFmtId="2" fontId="147" fillId="37" borderId="174" xfId="47" applyNumberFormat="1" applyFont="1" applyFill="1" applyBorder="1" applyAlignment="1">
      <alignment horizontal="center" vertical="center"/>
    </xf>
    <xf numFmtId="2" fontId="147" fillId="37" borderId="16" xfId="47" applyNumberFormat="1" applyFont="1" applyFill="1" applyBorder="1" applyAlignment="1">
      <alignment horizontal="center" vertical="center"/>
    </xf>
    <xf numFmtId="2" fontId="147" fillId="37" borderId="11" xfId="47" applyNumberFormat="1" applyFont="1" applyFill="1" applyBorder="1" applyAlignment="1">
      <alignment horizontal="center" vertical="center"/>
    </xf>
    <xf numFmtId="2" fontId="64" fillId="41" borderId="168" xfId="0" applyNumberFormat="1" applyFont="1" applyFill="1" applyBorder="1" applyAlignment="1">
      <alignment horizontal="center" vertical="center"/>
    </xf>
    <xf numFmtId="2" fontId="148" fillId="0" borderId="0" xfId="47" applyNumberFormat="1" applyFont="1">
      <alignment vertical="center"/>
    </xf>
    <xf numFmtId="2" fontId="47" fillId="0" borderId="10" xfId="0" applyNumberFormat="1" applyFont="1" applyBorder="1" applyAlignment="1" applyProtection="1">
      <alignment horizontal="right"/>
      <protection hidden="1"/>
    </xf>
    <xf numFmtId="0" fontId="47" fillId="0" borderId="80" xfId="0" applyFont="1" applyBorder="1" applyProtection="1">
      <alignment vertical="center"/>
      <protection hidden="1"/>
    </xf>
    <xf numFmtId="0" fontId="0" fillId="0" borderId="27" xfId="0" applyBorder="1">
      <alignment vertical="center"/>
    </xf>
    <xf numFmtId="181" fontId="47" fillId="0" borderId="10" xfId="0" applyNumberFormat="1" applyFont="1" applyBorder="1" applyAlignment="1" applyProtection="1">
      <alignment horizontal="right"/>
      <protection hidden="1"/>
    </xf>
    <xf numFmtId="0" fontId="149" fillId="0" borderId="0" xfId="0" applyFont="1" applyProtection="1">
      <alignment vertical="center"/>
      <protection hidden="1"/>
    </xf>
    <xf numFmtId="0" fontId="151" fillId="0" borderId="10" xfId="0" applyFont="1" applyBorder="1" applyAlignment="1" applyProtection="1">
      <alignment horizontal="left" vertical="center" wrapText="1"/>
      <protection hidden="1"/>
    </xf>
    <xf numFmtId="184" fontId="29" fillId="29" borderId="27" xfId="0" applyNumberFormat="1" applyFont="1" applyFill="1" applyBorder="1" applyAlignment="1" applyProtection="1">
      <alignment horizontal="centerContinuous" vertical="center"/>
      <protection hidden="1"/>
    </xf>
    <xf numFmtId="0" fontId="152" fillId="37" borderId="59" xfId="47" applyFont="1" applyFill="1" applyBorder="1" applyAlignment="1" applyProtection="1">
      <alignment horizontal="center" vertical="center"/>
      <protection hidden="1"/>
    </xf>
    <xf numFmtId="182" fontId="154" fillId="37" borderId="122" xfId="47" applyNumberFormat="1" applyFont="1" applyFill="1" applyBorder="1" applyAlignment="1">
      <alignment horizontal="center" vertical="center"/>
    </xf>
    <xf numFmtId="0" fontId="139" fillId="0" borderId="0" xfId="0" applyFont="1">
      <alignment vertical="center"/>
    </xf>
    <xf numFmtId="0" fontId="139" fillId="0" borderId="10" xfId="0" applyFont="1" applyBorder="1">
      <alignment vertical="center"/>
    </xf>
    <xf numFmtId="0" fontId="153" fillId="0" borderId="10" xfId="0" applyFont="1" applyBorder="1">
      <alignment vertical="center"/>
    </xf>
    <xf numFmtId="0" fontId="155" fillId="0" borderId="0" xfId="47" applyFont="1" applyAlignment="1" applyProtection="1">
      <alignment horizontal="center" vertical="justify"/>
      <protection hidden="1"/>
    </xf>
    <xf numFmtId="0" fontId="156" fillId="0" borderId="0" xfId="47" applyFont="1">
      <alignment vertical="center"/>
    </xf>
    <xf numFmtId="0" fontId="156" fillId="45" borderId="10" xfId="47" applyFont="1" applyFill="1" applyBorder="1">
      <alignment vertical="center"/>
    </xf>
    <xf numFmtId="0" fontId="156" fillId="45" borderId="0" xfId="47" applyFont="1" applyFill="1">
      <alignment vertical="center"/>
    </xf>
    <xf numFmtId="0" fontId="133" fillId="31" borderId="50" xfId="0" applyFont="1" applyFill="1" applyBorder="1" applyProtection="1">
      <alignment vertical="center"/>
      <protection hidden="1"/>
    </xf>
    <xf numFmtId="0" fontId="64" fillId="0" borderId="0" xfId="0" applyFont="1">
      <alignment vertical="center"/>
    </xf>
    <xf numFmtId="0" fontId="158" fillId="31" borderId="82" xfId="0" applyFont="1" applyFill="1" applyBorder="1" applyProtection="1">
      <alignment vertical="center"/>
      <protection hidden="1"/>
    </xf>
    <xf numFmtId="0" fontId="159" fillId="31" borderId="156" xfId="0" applyFont="1" applyFill="1" applyBorder="1" applyProtection="1">
      <alignment vertical="center"/>
      <protection hidden="1"/>
    </xf>
    <xf numFmtId="0" fontId="34" fillId="0" borderId="61" xfId="0" applyFont="1" applyBorder="1">
      <alignment vertical="center"/>
    </xf>
    <xf numFmtId="0" fontId="131" fillId="0" borderId="0" xfId="0" applyFont="1" applyAlignment="1" applyProtection="1">
      <alignment horizontal="left" vertical="center"/>
      <protection hidden="1"/>
    </xf>
    <xf numFmtId="0" fontId="131" fillId="0" borderId="0" xfId="0" applyFont="1" applyAlignment="1">
      <alignment horizontal="right" vertical="top"/>
    </xf>
    <xf numFmtId="0" fontId="131" fillId="0" borderId="64" xfId="0" applyFont="1" applyBorder="1" applyAlignment="1" applyProtection="1">
      <alignment horizontal="left" vertical="top"/>
      <protection hidden="1"/>
    </xf>
    <xf numFmtId="0" fontId="131" fillId="0" borderId="62" xfId="0" applyFont="1" applyBorder="1" applyAlignment="1" applyProtection="1">
      <alignment horizontal="right" vertical="top"/>
      <protection hidden="1"/>
    </xf>
    <xf numFmtId="0" fontId="131" fillId="0" borderId="63" xfId="0" applyFont="1" applyBorder="1" applyAlignment="1" applyProtection="1">
      <alignment horizontal="left" vertical="top"/>
      <protection hidden="1"/>
    </xf>
    <xf numFmtId="182" fontId="47" fillId="37" borderId="16" xfId="0" applyNumberFormat="1" applyFont="1" applyFill="1" applyBorder="1" applyAlignment="1">
      <alignment horizontal="center" vertical="center"/>
    </xf>
    <xf numFmtId="182" fontId="47" fillId="37" borderId="11" xfId="0" applyNumberFormat="1" applyFont="1" applyFill="1" applyBorder="1" applyAlignment="1">
      <alignment horizontal="center" vertical="center"/>
    </xf>
    <xf numFmtId="182" fontId="147" fillId="37" borderId="174" xfId="47" applyNumberFormat="1" applyFont="1" applyFill="1" applyBorder="1" applyAlignment="1">
      <alignment horizontal="center" vertical="center"/>
    </xf>
    <xf numFmtId="182" fontId="47" fillId="37" borderId="174" xfId="0" applyNumberFormat="1" applyFont="1" applyFill="1" applyBorder="1" applyAlignment="1">
      <alignment horizontal="center" vertical="center"/>
    </xf>
    <xf numFmtId="2" fontId="118" fillId="0" borderId="10" xfId="47" applyNumberFormat="1" applyBorder="1">
      <alignment vertical="center"/>
    </xf>
    <xf numFmtId="0" fontId="38" fillId="37" borderId="26" xfId="0" applyFont="1" applyFill="1" applyBorder="1" applyAlignment="1" applyProtection="1">
      <alignment horizontal="centerContinuous" vertical="center"/>
      <protection hidden="1"/>
    </xf>
    <xf numFmtId="0" fontId="43" fillId="25" borderId="54" xfId="0" applyFont="1" applyFill="1" applyBorder="1" applyAlignment="1" applyProtection="1">
      <alignment horizontal="center" vertical="center" wrapText="1"/>
      <protection hidden="1"/>
    </xf>
    <xf numFmtId="0" fontId="35" fillId="25" borderId="0" xfId="0" applyFont="1" applyFill="1" applyAlignment="1">
      <alignment horizontal="left" vertical="center"/>
    </xf>
    <xf numFmtId="0" fontId="29" fillId="25" borderId="101" xfId="0" applyFont="1" applyFill="1" applyBorder="1" applyAlignment="1" applyProtection="1">
      <alignment horizontal="center" vertical="center"/>
      <protection hidden="1"/>
    </xf>
    <xf numFmtId="180" fontId="34" fillId="0" borderId="28" xfId="0" applyNumberFormat="1" applyFont="1" applyBorder="1" applyAlignment="1" applyProtection="1">
      <alignment horizontal="right" vertical="center"/>
      <protection locked="0"/>
    </xf>
    <xf numFmtId="0" fontId="0" fillId="0" borderId="25" xfId="0" applyBorder="1">
      <alignment vertical="center"/>
    </xf>
    <xf numFmtId="0" fontId="34" fillId="25" borderId="25" xfId="0" applyFont="1" applyFill="1" applyBorder="1" applyProtection="1">
      <alignment vertical="center"/>
      <protection hidden="1"/>
    </xf>
    <xf numFmtId="0" fontId="34" fillId="25" borderId="25" xfId="0" applyFont="1" applyFill="1" applyBorder="1">
      <alignment vertical="center"/>
    </xf>
    <xf numFmtId="178" fontId="8" fillId="25" borderId="33" xfId="0" applyNumberFormat="1" applyFont="1" applyFill="1" applyBorder="1" applyAlignment="1">
      <alignment horizontal="right" vertical="center"/>
    </xf>
    <xf numFmtId="0" fontId="34" fillId="0" borderId="26" xfId="0" applyFont="1" applyBorder="1" applyAlignment="1" applyProtection="1">
      <alignment horizontal="left" vertical="center" shrinkToFit="1"/>
      <protection locked="0"/>
    </xf>
    <xf numFmtId="0" fontId="34" fillId="0" borderId="47"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34" fillId="0" borderId="26" xfId="0" applyFont="1" applyBorder="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4" fillId="25" borderId="26" xfId="0" applyFont="1" applyFill="1" applyBorder="1" applyAlignment="1">
      <alignment horizontal="left" vertical="center" shrinkToFit="1"/>
    </xf>
    <xf numFmtId="0" fontId="34" fillId="25" borderId="47" xfId="0" applyFont="1" applyFill="1" applyBorder="1" applyAlignment="1">
      <alignment horizontal="left" vertical="center" shrinkToFit="1"/>
    </xf>
    <xf numFmtId="0" fontId="34" fillId="25" borderId="27" xfId="0" applyFont="1" applyFill="1" applyBorder="1" applyAlignment="1">
      <alignment horizontal="left" vertical="center" shrinkToFit="1"/>
    </xf>
    <xf numFmtId="0" fontId="43" fillId="0" borderId="116" xfId="28" applyFont="1" applyBorder="1" applyAlignment="1" applyProtection="1">
      <alignment horizontal="center" vertical="center"/>
      <protection hidden="1"/>
    </xf>
    <xf numFmtId="0" fontId="43" fillId="0" borderId="117" xfId="28" applyFont="1" applyBorder="1" applyAlignment="1" applyProtection="1">
      <alignment horizontal="center" vertical="center"/>
      <protection hidden="1"/>
    </xf>
    <xf numFmtId="0" fontId="43" fillId="0" borderId="118" xfId="28" applyFont="1" applyBorder="1" applyAlignment="1" applyProtection="1">
      <alignment horizontal="center" vertical="center"/>
      <protection hidden="1"/>
    </xf>
    <xf numFmtId="0" fontId="138" fillId="0" borderId="0" xfId="0" applyFont="1" applyAlignment="1" applyProtection="1">
      <alignment horizontal="left" vertical="center" shrinkToFit="1"/>
      <protection hidden="1"/>
    </xf>
    <xf numFmtId="0" fontId="138" fillId="0" borderId="0" xfId="0" applyFont="1" applyAlignment="1">
      <alignment vertical="center" shrinkToFit="1"/>
    </xf>
    <xf numFmtId="0" fontId="138" fillId="0" borderId="0" xfId="0" applyFont="1" applyAlignment="1">
      <alignment horizontal="left" vertical="center" shrinkToFit="1"/>
    </xf>
    <xf numFmtId="0" fontId="30" fillId="0" borderId="62" xfId="0" applyFont="1" applyBorder="1" applyAlignment="1" applyProtection="1">
      <alignment horizontal="left" vertical="top" wrapText="1"/>
      <protection hidden="1"/>
    </xf>
    <xf numFmtId="0" fontId="30" fillId="27" borderId="63" xfId="0" applyFont="1" applyFill="1" applyBorder="1" applyAlignment="1" applyProtection="1">
      <alignment horizontal="left" vertical="top" wrapText="1"/>
      <protection hidden="1"/>
    </xf>
    <xf numFmtId="0" fontId="30" fillId="27" borderId="81" xfId="0" applyFont="1" applyFill="1" applyBorder="1" applyAlignment="1" applyProtection="1">
      <alignment horizontal="left" vertical="top" wrapText="1"/>
      <protection hidden="1"/>
    </xf>
    <xf numFmtId="0" fontId="30" fillId="0" borderId="80" xfId="0" applyFont="1" applyBorder="1" applyAlignment="1" applyProtection="1">
      <alignment horizontal="left" vertical="top" wrapText="1"/>
      <protection hidden="1"/>
    </xf>
    <xf numFmtId="0" fontId="30" fillId="27" borderId="64" xfId="0" applyFont="1" applyFill="1" applyBorder="1" applyAlignment="1" applyProtection="1">
      <alignment horizontal="left" vertical="top" wrapText="1"/>
      <protection hidden="1"/>
    </xf>
    <xf numFmtId="55" fontId="34" fillId="0" borderId="119" xfId="0" applyNumberFormat="1" applyFont="1" applyBorder="1" applyAlignment="1" applyProtection="1">
      <alignment horizontal="left" vertical="center"/>
      <protection hidden="1"/>
    </xf>
    <xf numFmtId="0" fontId="0" fillId="0" borderId="50" xfId="0" applyBorder="1">
      <alignment vertical="center"/>
    </xf>
    <xf numFmtId="0" fontId="30" fillId="0" borderId="74" xfId="0" applyFont="1" applyBorder="1" applyAlignment="1">
      <alignment horizontal="left" vertical="top" wrapText="1"/>
    </xf>
    <xf numFmtId="0" fontId="30" fillId="0" borderId="54" xfId="0" applyFont="1" applyBorder="1" applyAlignment="1">
      <alignment horizontal="left" vertical="top" wrapText="1"/>
    </xf>
    <xf numFmtId="0" fontId="30" fillId="0" borderId="53" xfId="0" applyFont="1" applyBorder="1" applyAlignment="1" applyProtection="1">
      <alignment horizontal="left" vertical="top" wrapText="1"/>
      <protection hidden="1"/>
    </xf>
    <xf numFmtId="0" fontId="30" fillId="27" borderId="54" xfId="0" applyFont="1" applyFill="1" applyBorder="1" applyAlignment="1" applyProtection="1">
      <alignment horizontal="left" vertical="top" wrapText="1"/>
      <protection hidden="1"/>
    </xf>
    <xf numFmtId="0" fontId="30" fillId="27" borderId="76" xfId="0" applyFont="1" applyFill="1" applyBorder="1" applyAlignment="1" applyProtection="1">
      <alignment horizontal="left" vertical="top" wrapText="1"/>
      <protection hidden="1"/>
    </xf>
    <xf numFmtId="0" fontId="30" fillId="0" borderId="74" xfId="0" applyFont="1" applyBorder="1" applyAlignment="1" applyProtection="1">
      <alignment horizontal="left" vertical="top" wrapText="1"/>
      <protection hidden="1"/>
    </xf>
    <xf numFmtId="0" fontId="30" fillId="27" borderId="55" xfId="0" applyFont="1" applyFill="1" applyBorder="1" applyAlignment="1" applyProtection="1">
      <alignment horizontal="left" vertical="top" wrapText="1"/>
      <protection hidden="1"/>
    </xf>
    <xf numFmtId="55" fontId="34" fillId="0" borderId="75" xfId="0" applyNumberFormat="1" applyFont="1" applyBorder="1" applyAlignment="1" applyProtection="1">
      <alignment horizontal="left" vertical="center"/>
      <protection hidden="1"/>
    </xf>
    <xf numFmtId="55" fontId="34" fillId="0" borderId="54" xfId="0" applyNumberFormat="1" applyFont="1" applyBorder="1" applyAlignment="1" applyProtection="1">
      <alignment horizontal="left" vertical="center"/>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0" fillId="38" borderId="47" xfId="0"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38" borderId="89" xfId="0" applyFill="1"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38" borderId="115" xfId="0" applyFill="1" applyBorder="1" applyAlignment="1" applyProtection="1">
      <alignment horizontal="left" vertical="top" wrapText="1"/>
      <protection locked="0"/>
    </xf>
    <xf numFmtId="0" fontId="0" fillId="38" borderId="113" xfId="0" applyFill="1" applyBorder="1" applyAlignment="1" applyProtection="1">
      <alignment horizontal="left" vertical="top" wrapText="1"/>
      <protection locked="0"/>
    </xf>
    <xf numFmtId="179" fontId="29" fillId="0" borderId="59" xfId="0" applyNumberFormat="1" applyFont="1" applyBorder="1" applyAlignment="1" applyProtection="1">
      <alignment horizontal="left" vertical="top" wrapText="1"/>
      <protection locked="0"/>
    </xf>
    <xf numFmtId="179" fontId="29" fillId="0" borderId="0" xfId="0" applyNumberFormat="1" applyFont="1" applyAlignment="1" applyProtection="1">
      <alignment horizontal="left" vertical="top" wrapText="1"/>
      <protection locked="0"/>
    </xf>
    <xf numFmtId="179" fontId="29" fillId="0" borderId="17" xfId="0" applyNumberFormat="1" applyFont="1" applyBorder="1" applyAlignment="1" applyProtection="1">
      <alignment horizontal="left" vertical="top" wrapText="1"/>
      <protection locked="0"/>
    </xf>
    <xf numFmtId="0" fontId="24" fillId="37" borderId="26" xfId="47" applyFont="1" applyFill="1" applyBorder="1" applyAlignment="1" applyProtection="1">
      <alignment horizontal="left" vertical="center"/>
      <protection hidden="1"/>
    </xf>
    <xf numFmtId="0" fontId="24" fillId="37" borderId="79" xfId="47" applyFont="1" applyFill="1" applyBorder="1" applyAlignment="1" applyProtection="1">
      <alignment horizontal="left" vertical="center"/>
      <protection hidden="1"/>
    </xf>
    <xf numFmtId="179" fontId="114" fillId="0" borderId="59" xfId="0" applyNumberFormat="1" applyFont="1" applyBorder="1" applyAlignment="1" applyProtection="1">
      <alignment horizontal="left" vertical="top" wrapText="1"/>
      <protection locked="0"/>
    </xf>
    <xf numFmtId="179" fontId="114" fillId="0" borderId="0" xfId="0" applyNumberFormat="1" applyFont="1" applyAlignment="1" applyProtection="1">
      <alignment horizontal="left" vertical="top" wrapText="1"/>
      <protection locked="0"/>
    </xf>
    <xf numFmtId="179" fontId="114" fillId="0" borderId="17" xfId="0" applyNumberFormat="1" applyFont="1" applyBorder="1" applyAlignment="1" applyProtection="1">
      <alignment horizontal="left" vertical="top" wrapText="1"/>
      <protection locked="0"/>
    </xf>
    <xf numFmtId="179" fontId="29" fillId="37" borderId="74" xfId="47" applyNumberFormat="1" applyFont="1" applyFill="1" applyBorder="1" applyAlignment="1" applyProtection="1">
      <alignment horizontal="left" vertical="center" wrapText="1"/>
      <protection locked="0"/>
    </xf>
    <xf numFmtId="179" fontId="29" fillId="37" borderId="54" xfId="47" applyNumberFormat="1" applyFont="1" applyFill="1" applyBorder="1" applyAlignment="1" applyProtection="1">
      <alignment horizontal="left" vertical="center" wrapText="1"/>
      <protection locked="0"/>
    </xf>
    <xf numFmtId="0" fontId="24" fillId="37" borderId="49" xfId="47" applyFont="1" applyFill="1" applyBorder="1" applyAlignment="1" applyProtection="1">
      <alignment horizontal="left" vertical="center" shrinkToFit="1"/>
      <protection hidden="1"/>
    </xf>
    <xf numFmtId="0" fontId="24" fillId="37" borderId="53" xfId="47" applyFont="1" applyFill="1" applyBorder="1" applyAlignment="1" applyProtection="1">
      <alignment horizontal="left" vertical="center" shrinkToFit="1"/>
      <protection hidden="1"/>
    </xf>
    <xf numFmtId="179" fontId="29" fillId="0" borderId="74" xfId="0" applyNumberFormat="1" applyFont="1" applyBorder="1" applyAlignment="1" applyProtection="1">
      <alignment horizontal="left" vertical="top" wrapText="1"/>
      <protection locked="0"/>
    </xf>
    <xf numFmtId="179" fontId="29" fillId="0" borderId="54" xfId="0" applyNumberFormat="1" applyFont="1" applyBorder="1" applyAlignment="1" applyProtection="1">
      <alignment horizontal="left" vertical="top" wrapText="1"/>
      <protection locked="0"/>
    </xf>
    <xf numFmtId="179" fontId="29" fillId="0" borderId="55" xfId="0" applyNumberFormat="1" applyFont="1" applyBorder="1" applyAlignment="1" applyProtection="1">
      <alignment horizontal="left" vertical="top" wrapText="1"/>
      <protection locked="0"/>
    </xf>
    <xf numFmtId="179" fontId="29" fillId="0" borderId="62" xfId="0" applyNumberFormat="1" applyFont="1" applyBorder="1" applyAlignment="1" applyProtection="1">
      <alignment horizontal="left" vertical="top" wrapText="1"/>
      <protection locked="0"/>
    </xf>
    <xf numFmtId="179" fontId="29" fillId="0" borderId="63" xfId="0" applyNumberFormat="1" applyFont="1" applyBorder="1" applyAlignment="1" applyProtection="1">
      <alignment horizontal="left" vertical="top" wrapText="1"/>
      <protection locked="0"/>
    </xf>
    <xf numFmtId="179" fontId="29" fillId="0" borderId="81" xfId="0" applyNumberFormat="1" applyFont="1" applyBorder="1" applyAlignment="1" applyProtection="1">
      <alignment horizontal="left" vertical="top" wrapText="1"/>
      <protection locked="0"/>
    </xf>
    <xf numFmtId="0" fontId="0" fillId="37" borderId="49" xfId="47" applyFont="1" applyFill="1" applyBorder="1" applyAlignment="1" applyProtection="1">
      <alignment horizontal="left" vertical="center" shrinkToFit="1"/>
      <protection hidden="1"/>
    </xf>
    <xf numFmtId="0" fontId="0" fillId="37" borderId="61" xfId="47" applyFont="1" applyFill="1" applyBorder="1" applyAlignment="1" applyProtection="1">
      <alignment horizontal="left" vertical="center" shrinkToFit="1"/>
      <protection hidden="1"/>
    </xf>
    <xf numFmtId="0" fontId="0" fillId="37" borderId="53" xfId="47" applyFont="1" applyFill="1" applyBorder="1" applyAlignment="1" applyProtection="1">
      <alignment horizontal="left" vertical="center" shrinkToFit="1"/>
      <protection hidden="1"/>
    </xf>
    <xf numFmtId="0" fontId="24" fillId="37" borderId="49" xfId="47" applyFont="1" applyFill="1" applyBorder="1" applyAlignment="1" applyProtection="1">
      <alignment horizontal="left" vertical="center"/>
      <protection hidden="1"/>
    </xf>
    <xf numFmtId="0" fontId="24" fillId="37" borderId="83" xfId="47" applyFont="1" applyFill="1" applyBorder="1" applyAlignment="1" applyProtection="1">
      <alignment horizontal="left" vertical="center"/>
      <protection hidden="1"/>
    </xf>
    <xf numFmtId="182" fontId="24" fillId="25" borderId="126" xfId="47" applyNumberFormat="1" applyFont="1" applyFill="1" applyBorder="1" applyAlignment="1" applyProtection="1">
      <alignment horizontal="center" vertical="center" wrapText="1"/>
      <protection hidden="1"/>
    </xf>
    <xf numFmtId="182" fontId="24" fillId="25" borderId="143" xfId="47" applyNumberFormat="1" applyFont="1" applyFill="1" applyBorder="1" applyAlignment="1" applyProtection="1">
      <alignment horizontal="center" vertical="center" wrapText="1"/>
      <protection hidden="1"/>
    </xf>
    <xf numFmtId="0" fontId="24" fillId="37" borderId="61" xfId="47" applyFont="1" applyFill="1" applyBorder="1" applyAlignment="1" applyProtection="1">
      <alignment horizontal="left" vertical="center" shrinkToFit="1"/>
      <protection hidden="1"/>
    </xf>
    <xf numFmtId="0" fontId="24" fillId="37" borderId="49" xfId="47" applyFont="1" applyFill="1" applyBorder="1" applyAlignment="1" applyProtection="1">
      <alignment horizontal="left" vertical="center" wrapText="1" shrinkToFit="1"/>
      <protection hidden="1"/>
    </xf>
    <xf numFmtId="0" fontId="24" fillId="37" borderId="53" xfId="47" applyFont="1" applyFill="1" applyBorder="1" applyAlignment="1" applyProtection="1">
      <alignment horizontal="left" vertical="center" wrapText="1" shrinkToFit="1"/>
      <protection hidden="1"/>
    </xf>
    <xf numFmtId="0" fontId="128" fillId="37" borderId="26" xfId="28" applyFont="1" applyFill="1" applyBorder="1" applyAlignment="1" applyProtection="1">
      <alignment horizontal="left" vertical="center"/>
      <protection hidden="1"/>
    </xf>
    <xf numFmtId="0" fontId="128" fillId="37" borderId="79" xfId="28" applyFont="1" applyFill="1" applyBorder="1" applyAlignment="1" applyProtection="1">
      <alignment horizontal="left" vertical="center"/>
      <protection hidden="1"/>
    </xf>
    <xf numFmtId="186" fontId="27" fillId="29" borderId="49" xfId="0" applyNumberFormat="1" applyFont="1" applyFill="1" applyBorder="1" applyAlignment="1">
      <alignment horizontal="center" vertical="center"/>
    </xf>
    <xf numFmtId="186" fontId="27" fillId="29" borderId="53" xfId="0" applyNumberFormat="1" applyFont="1" applyFill="1" applyBorder="1" applyAlignment="1">
      <alignment horizontal="center" vertical="center"/>
    </xf>
    <xf numFmtId="186" fontId="27" fillId="29" borderId="85" xfId="0" applyNumberFormat="1" applyFont="1" applyFill="1" applyBorder="1" applyAlignment="1" applyProtection="1">
      <alignment horizontal="center" vertical="center"/>
      <protection locked="0" hidden="1"/>
    </xf>
    <xf numFmtId="186" fontId="27" fillId="29" borderId="155" xfId="0" applyNumberFormat="1" applyFont="1" applyFill="1" applyBorder="1" applyAlignment="1" applyProtection="1">
      <alignment horizontal="center" vertical="center"/>
      <protection locked="0" hidden="1"/>
    </xf>
    <xf numFmtId="0" fontId="29" fillId="25" borderId="103" xfId="0" applyFont="1" applyFill="1" applyBorder="1" applyAlignment="1" applyProtection="1">
      <alignment horizontal="left" vertical="center" wrapText="1"/>
      <protection hidden="1"/>
    </xf>
    <xf numFmtId="0" fontId="29" fillId="25" borderId="105" xfId="0" applyFont="1" applyFill="1" applyBorder="1" applyAlignment="1" applyProtection="1">
      <alignment horizontal="left" vertical="center" wrapText="1"/>
      <protection hidden="1"/>
    </xf>
    <xf numFmtId="0" fontId="29" fillId="25" borderId="104" xfId="0" applyFont="1" applyFill="1" applyBorder="1" applyAlignment="1" applyProtection="1">
      <alignment horizontal="left" vertical="center" wrapText="1"/>
      <protection hidden="1"/>
    </xf>
    <xf numFmtId="0" fontId="29" fillId="41" borderId="7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 vertical="center"/>
      <protection hidden="1"/>
    </xf>
    <xf numFmtId="0" fontId="29" fillId="41" borderId="26" xfId="0" applyFont="1" applyFill="1" applyBorder="1" applyAlignment="1" applyProtection="1">
      <alignment horizontal="center" vertical="center"/>
      <protection hidden="1"/>
    </xf>
    <xf numFmtId="0" fontId="29" fillId="41" borderId="27" xfId="0" applyFont="1" applyFill="1" applyBorder="1" applyAlignment="1" applyProtection="1">
      <alignment horizontal="center" vertical="center"/>
      <protection hidden="1"/>
    </xf>
    <xf numFmtId="0" fontId="29" fillId="25" borderId="98" xfId="0" applyFont="1" applyFill="1" applyBorder="1" applyAlignment="1" applyProtection="1">
      <alignment horizontal="left" vertical="center" wrapText="1"/>
      <protection hidden="1"/>
    </xf>
    <xf numFmtId="0" fontId="29" fillId="25" borderId="100" xfId="0" applyFont="1" applyFill="1" applyBorder="1" applyAlignment="1" applyProtection="1">
      <alignment horizontal="left" vertical="center" wrapText="1"/>
      <protection hidden="1"/>
    </xf>
    <xf numFmtId="0" fontId="29" fillId="25" borderId="12" xfId="0" applyFont="1" applyFill="1" applyBorder="1" applyAlignment="1" applyProtection="1">
      <alignment horizontal="left" vertical="center" wrapText="1"/>
      <protection hidden="1"/>
    </xf>
    <xf numFmtId="0" fontId="29" fillId="25" borderId="14" xfId="0" applyFont="1" applyFill="1" applyBorder="1" applyAlignment="1" applyProtection="1">
      <alignment horizontal="left" vertical="center" wrapText="1"/>
      <protection hidden="1"/>
    </xf>
    <xf numFmtId="0" fontId="29" fillId="25" borderId="13" xfId="0" applyFont="1" applyFill="1" applyBorder="1" applyAlignment="1" applyProtection="1">
      <alignment horizontal="left" vertical="center" wrapText="1"/>
      <protection hidden="1"/>
    </xf>
    <xf numFmtId="0" fontId="29" fillId="25" borderId="48" xfId="0" applyFont="1" applyFill="1" applyBorder="1" applyAlignment="1" applyProtection="1">
      <alignment horizontal="left" vertical="center" wrapText="1"/>
      <protection hidden="1"/>
    </xf>
    <xf numFmtId="0" fontId="29" fillId="25" borderId="15" xfId="0" applyFont="1" applyFill="1" applyBorder="1" applyAlignment="1" applyProtection="1">
      <alignment horizontal="left" vertical="center" wrapText="1"/>
      <protection hidden="1"/>
    </xf>
    <xf numFmtId="0" fontId="29" fillId="25" borderId="52"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36" xfId="0" applyFont="1" applyFill="1" applyBorder="1" applyAlignment="1" applyProtection="1">
      <alignment horizontal="left" vertical="center" wrapText="1"/>
      <protection hidden="1"/>
    </xf>
    <xf numFmtId="0" fontId="38" fillId="25" borderId="48" xfId="0" applyFont="1" applyFill="1" applyBorder="1" applyAlignment="1" applyProtection="1">
      <alignment horizontal="left" vertical="center" wrapText="1"/>
      <protection hidden="1"/>
    </xf>
    <xf numFmtId="0" fontId="38" fillId="25" borderId="15" xfId="0" applyFont="1" applyFill="1" applyBorder="1" applyAlignment="1" applyProtection="1">
      <alignment horizontal="left" vertical="center" wrapText="1"/>
      <protection hidden="1"/>
    </xf>
    <xf numFmtId="0" fontId="38" fillId="25" borderId="52" xfId="0" applyFont="1" applyFill="1" applyBorder="1" applyAlignment="1" applyProtection="1">
      <alignment horizontal="left" vertical="center" wrapText="1"/>
      <protection hidden="1"/>
    </xf>
    <xf numFmtId="0" fontId="29" fillId="25" borderId="132" xfId="0" applyFont="1" applyFill="1" applyBorder="1" applyAlignment="1" applyProtection="1">
      <alignment horizontal="center" vertical="center"/>
      <protection hidden="1"/>
    </xf>
    <xf numFmtId="0" fontId="29" fillId="25" borderId="178" xfId="0" applyFont="1" applyFill="1" applyBorder="1" applyAlignment="1" applyProtection="1">
      <alignment horizontal="center" vertical="center"/>
      <protection hidden="1"/>
    </xf>
    <xf numFmtId="0" fontId="29" fillId="25" borderId="177" xfId="0" applyFont="1" applyFill="1" applyBorder="1" applyAlignment="1" applyProtection="1">
      <alignment horizontal="center" vertical="center"/>
      <protection hidden="1"/>
    </xf>
    <xf numFmtId="189" fontId="29" fillId="25" borderId="85" xfId="0" applyNumberFormat="1" applyFont="1" applyFill="1" applyBorder="1" applyAlignment="1" applyProtection="1">
      <alignment horizontal="center" vertical="center"/>
      <protection locked="0" hidden="1"/>
    </xf>
    <xf numFmtId="189" fontId="29" fillId="25" borderId="179" xfId="0" applyNumberFormat="1" applyFont="1" applyFill="1" applyBorder="1" applyAlignment="1" applyProtection="1">
      <alignment horizontal="center" vertical="center"/>
      <protection locked="0" hidden="1"/>
    </xf>
    <xf numFmtId="189" fontId="29" fillId="25" borderId="176"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top" wrapText="1"/>
      <protection hidden="1"/>
    </xf>
    <xf numFmtId="0" fontId="29" fillId="25" borderId="99" xfId="0" applyFont="1" applyFill="1" applyBorder="1" applyAlignment="1" applyProtection="1">
      <alignment horizontal="left" vertical="top" wrapText="1"/>
      <protection hidden="1"/>
    </xf>
    <xf numFmtId="0" fontId="29" fillId="25" borderId="100" xfId="0" applyFont="1" applyFill="1" applyBorder="1" applyAlignment="1" applyProtection="1">
      <alignment horizontal="left" vertical="top" wrapText="1"/>
      <protection hidden="1"/>
    </xf>
    <xf numFmtId="0" fontId="29" fillId="25" borderId="12"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29" fillId="25" borderId="103" xfId="0" applyFont="1" applyFill="1" applyBorder="1" applyAlignment="1" applyProtection="1">
      <alignment horizontal="left" vertical="top" wrapText="1"/>
      <protection hidden="1"/>
    </xf>
    <xf numFmtId="0" fontId="0" fillId="0" borderId="105" xfId="0" applyBorder="1" applyAlignment="1">
      <alignment horizontal="left" vertical="top" wrapText="1"/>
    </xf>
    <xf numFmtId="0" fontId="0" fillId="0" borderId="104" xfId="0" applyBorder="1" applyAlignment="1">
      <alignment horizontal="left" vertical="top" wrapText="1"/>
    </xf>
    <xf numFmtId="186" fontId="27" fillId="29" borderId="48" xfId="0" applyNumberFormat="1" applyFont="1" applyFill="1" applyBorder="1" applyAlignment="1">
      <alignment horizontal="center" vertical="center"/>
    </xf>
    <xf numFmtId="186" fontId="27" fillId="29" borderId="52" xfId="0" applyNumberFormat="1" applyFont="1" applyFill="1" applyBorder="1" applyAlignment="1">
      <alignment horizontal="center" vertical="center"/>
    </xf>
    <xf numFmtId="0" fontId="29" fillId="25" borderId="112" xfId="0" applyFont="1" applyFill="1" applyBorder="1" applyAlignment="1" applyProtection="1">
      <alignment horizontal="left" vertical="center" wrapText="1"/>
      <protection hidden="1"/>
    </xf>
    <xf numFmtId="0" fontId="29" fillId="25" borderId="135" xfId="0" applyFont="1" applyFill="1" applyBorder="1" applyAlignment="1" applyProtection="1">
      <alignment horizontal="left" vertical="center" wrapText="1"/>
      <protection hidden="1"/>
    </xf>
    <xf numFmtId="0" fontId="29" fillId="25" borderId="110" xfId="0" applyFont="1" applyFill="1" applyBorder="1" applyAlignment="1" applyProtection="1">
      <alignment horizontal="left" vertical="center" wrapText="1"/>
      <protection hidden="1"/>
    </xf>
    <xf numFmtId="0" fontId="29" fillId="25" borderId="133" xfId="0" applyFont="1" applyFill="1" applyBorder="1" applyAlignment="1" applyProtection="1">
      <alignment horizontal="left" vertical="center" wrapText="1"/>
      <protection hidden="1"/>
    </xf>
    <xf numFmtId="0" fontId="29" fillId="25" borderId="111" xfId="0" applyFont="1" applyFill="1" applyBorder="1" applyAlignment="1" applyProtection="1">
      <alignment horizontal="left" vertical="center" wrapText="1"/>
      <protection hidden="1"/>
    </xf>
    <xf numFmtId="0" fontId="29" fillId="25" borderId="134" xfId="0" applyFont="1" applyFill="1" applyBorder="1" applyAlignment="1" applyProtection="1">
      <alignment horizontal="left" vertical="center" wrapText="1"/>
      <protection hidden="1"/>
    </xf>
    <xf numFmtId="0" fontId="29" fillId="25" borderId="138" xfId="0" applyFont="1" applyFill="1" applyBorder="1" applyAlignment="1" applyProtection="1">
      <alignment horizontal="left" vertical="center" wrapText="1"/>
      <protection hidden="1"/>
    </xf>
    <xf numFmtId="0" fontId="29" fillId="41" borderId="10" xfId="0" applyFont="1" applyFill="1" applyBorder="1" applyAlignment="1" applyProtection="1">
      <alignment horizontal="center" vertical="center"/>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05" xfId="0" applyBorder="1" applyAlignment="1">
      <alignment horizontal="left" vertical="center" wrapText="1"/>
    </xf>
    <xf numFmtId="0" fontId="0" fillId="0" borderId="104" xfId="0" applyBorder="1" applyAlignment="1">
      <alignment horizontal="left" vertical="center" wrapText="1"/>
    </xf>
    <xf numFmtId="184" fontId="29" fillId="25" borderId="141" xfId="0" applyNumberFormat="1" applyFont="1" applyFill="1" applyBorder="1" applyAlignment="1" applyProtection="1">
      <alignment horizontal="center" vertical="center"/>
      <protection hidden="1"/>
    </xf>
    <xf numFmtId="184" fontId="29" fillId="25" borderId="78" xfId="0" applyNumberFormat="1" applyFont="1" applyFill="1" applyBorder="1" applyAlignment="1" applyProtection="1">
      <alignment horizontal="center" vertical="center"/>
      <protection hidden="1"/>
    </xf>
    <xf numFmtId="184" fontId="29" fillId="25" borderId="139" xfId="0" applyNumberFormat="1" applyFont="1" applyFill="1" applyBorder="1" applyAlignment="1" applyProtection="1">
      <alignment horizontal="center" vertical="center"/>
      <protection hidden="1"/>
    </xf>
    <xf numFmtId="0" fontId="136" fillId="37" borderId="12" xfId="0" applyFont="1" applyFill="1" applyBorder="1" applyAlignment="1">
      <alignment horizontal="left" vertical="center" wrapText="1"/>
    </xf>
    <xf numFmtId="0" fontId="136" fillId="37" borderId="13" xfId="0" applyFont="1" applyFill="1" applyBorder="1" applyAlignment="1">
      <alignment horizontal="left" vertical="center" wrapText="1"/>
    </xf>
    <xf numFmtId="0" fontId="136" fillId="37" borderId="14" xfId="0" applyFont="1" applyFill="1" applyBorder="1" applyAlignment="1">
      <alignment horizontal="left" vertical="center" wrapText="1"/>
    </xf>
    <xf numFmtId="0" fontId="29" fillId="25" borderId="103" xfId="0" applyFont="1" applyFill="1" applyBorder="1" applyAlignment="1" applyProtection="1">
      <alignment horizontal="left" vertical="center" shrinkToFit="1"/>
      <protection hidden="1"/>
    </xf>
    <xf numFmtId="0" fontId="29" fillId="25" borderId="105" xfId="0" applyFont="1" applyFill="1" applyBorder="1" applyAlignment="1" applyProtection="1">
      <alignment horizontal="left" vertical="center" shrinkToFit="1"/>
      <protection hidden="1"/>
    </xf>
    <xf numFmtId="0" fontId="29" fillId="25" borderId="104" xfId="0" applyFont="1" applyFill="1" applyBorder="1" applyAlignment="1" applyProtection="1">
      <alignment horizontal="left" vertical="center" shrinkToFit="1"/>
      <protection hidden="1"/>
    </xf>
    <xf numFmtId="0" fontId="29" fillId="25" borderId="59" xfId="0" applyFont="1" applyFill="1" applyBorder="1" applyAlignment="1" applyProtection="1">
      <alignment horizontal="left" vertical="center" wrapText="1"/>
      <protection hidden="1"/>
    </xf>
    <xf numFmtId="0" fontId="29" fillId="25" borderId="163" xfId="0" applyFont="1" applyFill="1" applyBorder="1" applyAlignment="1" applyProtection="1">
      <alignment horizontal="left" vertical="center" wrapText="1"/>
      <protection hidden="1"/>
    </xf>
    <xf numFmtId="0" fontId="38" fillId="0" borderId="50" xfId="0" applyFont="1" applyBorder="1" applyAlignment="1">
      <alignment horizontal="left" vertical="top" wrapText="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6" xfId="0" applyFont="1" applyFill="1" applyBorder="1" applyAlignment="1" applyProtection="1">
      <alignment horizontal="left" vertical="center" wrapText="1"/>
      <protection hidden="1"/>
    </xf>
    <xf numFmtId="0" fontId="29" fillId="25" borderId="27" xfId="0" applyFont="1" applyFill="1" applyBorder="1" applyAlignment="1" applyProtection="1">
      <alignment horizontal="left" vertical="center" wrapText="1"/>
      <protection hidden="1"/>
    </xf>
    <xf numFmtId="0" fontId="29" fillId="25" borderId="78" xfId="0" applyFont="1" applyFill="1" applyBorder="1" applyAlignment="1" applyProtection="1">
      <alignment horizontal="center" vertical="center" wrapText="1"/>
      <protection hidden="1"/>
    </xf>
    <xf numFmtId="0" fontId="29"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wrapText="1"/>
      <protection hidden="1"/>
    </xf>
    <xf numFmtId="0" fontId="29" fillId="37" borderId="98" xfId="0" applyFont="1" applyFill="1" applyBorder="1" applyAlignment="1">
      <alignment horizontal="left" vertical="center" wrapText="1"/>
    </xf>
    <xf numFmtId="0" fontId="29" fillId="37" borderId="100" xfId="0" applyFont="1" applyFill="1" applyBorder="1" applyAlignment="1">
      <alignment horizontal="left" vertical="center" wrapText="1"/>
    </xf>
    <xf numFmtId="0" fontId="29" fillId="37" borderId="12" xfId="0" applyFont="1" applyFill="1" applyBorder="1" applyAlignment="1">
      <alignment horizontal="left" vertical="center" wrapText="1"/>
    </xf>
    <xf numFmtId="0" fontId="136" fillId="37" borderId="98" xfId="0" applyFont="1" applyFill="1" applyBorder="1" applyAlignment="1">
      <alignment horizontal="left" vertical="center" wrapText="1"/>
    </xf>
    <xf numFmtId="0" fontId="136" fillId="37" borderId="99" xfId="0" applyFont="1" applyFill="1" applyBorder="1" applyAlignment="1">
      <alignment horizontal="left" vertical="center" wrapText="1"/>
    </xf>
    <xf numFmtId="0" fontId="136" fillId="37" borderId="100" xfId="0" applyFont="1" applyFill="1" applyBorder="1" applyAlignment="1">
      <alignment horizontal="left" vertical="center" wrapText="1"/>
    </xf>
    <xf numFmtId="0" fontId="29" fillId="25" borderId="98"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29" fillId="29" borderId="52" xfId="0" applyFont="1" applyFill="1" applyBorder="1" applyAlignment="1" applyProtection="1">
      <alignment horizontal="center" vertical="center"/>
      <protection hidden="1"/>
    </xf>
    <xf numFmtId="0" fontId="136" fillId="37" borderId="103" xfId="0" applyFont="1" applyFill="1" applyBorder="1" applyAlignment="1">
      <alignment horizontal="left" vertical="center" wrapText="1"/>
    </xf>
    <xf numFmtId="0" fontId="136" fillId="37" borderId="105" xfId="0" applyFont="1" applyFill="1" applyBorder="1" applyAlignment="1">
      <alignment horizontal="left" vertical="center" wrapText="1"/>
    </xf>
    <xf numFmtId="0" fontId="136" fillId="37" borderId="104"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xr:uid="{00000000-0005-0000-0000-00002B000000}"/>
    <cellStyle name="標準 2 2" xfId="46" xr:uid="{00000000-0005-0000-0000-00002C000000}"/>
    <cellStyle name="標準 3" xfId="47" xr:uid="{00000000-0005-0000-0000-00002D000000}"/>
    <cellStyle name="標準_選定シートV1.0" xfId="43" xr:uid="{00000000-0005-0000-0000-00002E000000}"/>
    <cellStyle name="良い" xfId="44" builtinId="26" customBuiltin="1"/>
  </cellStyles>
  <dxfs count="173">
    <dxf>
      <font>
        <condense val="0"/>
        <extend val="0"/>
        <color auto="1"/>
      </font>
      <fill>
        <patternFill>
          <bgColor indexed="27"/>
        </patternFill>
      </fill>
    </dxf>
    <dxf>
      <fill>
        <patternFill>
          <bgColor rgb="FFCCFFFF"/>
        </patternFill>
      </fill>
    </dxf>
    <dxf>
      <fill>
        <patternFill>
          <bgColor rgb="FFCCFFFF"/>
        </patternFill>
      </fill>
    </dxf>
    <dxf>
      <fill>
        <patternFill>
          <bgColor rgb="FFCCFFFF"/>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14"/>
        </patternFill>
      </fill>
    </dxf>
    <dxf>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ECFF"/>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CCCC"/>
      <color rgb="FFC0C0C0"/>
      <color rgb="FFFF99CC"/>
      <color rgb="FFCCECFF"/>
      <color rgb="FFCCCCFF"/>
      <color rgb="FFCC99FF"/>
      <color rgb="FF0080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svg"/><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34E2-4511-B241-694F68B7478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1-34E2-4511-B241-694F68B74781}"/>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12583320746292"/>
          <c:y val="0.12270225179826688"/>
          <c:w val="0.53612087062928648"/>
          <c:h val="0.83713472232559982"/>
        </c:manualLayout>
      </c:layout>
      <c:radarChart>
        <c:radarStyle val="filled"/>
        <c:varyColors val="0"/>
        <c:ser>
          <c:idx val="1"/>
          <c:order val="0"/>
          <c:spPr>
            <a:noFill/>
            <a:ln w="3175">
              <a:solidFill>
                <a:srgbClr val="000000"/>
              </a:solidFill>
              <a:prstDash val="solid"/>
            </a:ln>
          </c:spPr>
          <c:cat>
            <c:strRef>
              <c:f>結果!$V$8:$V$10</c:f>
              <c:strCache>
                <c:ptCount val="3"/>
                <c:pt idx="0">
                  <c:v>Qw2 
健康性・快適性</c:v>
                </c:pt>
                <c:pt idx="1">
                  <c:v>Qw3 
知的生産性向上</c:v>
                </c:pt>
                <c:pt idx="2">
                  <c:v>Qw1 
安全・安心性</c:v>
                </c:pt>
              </c:strCache>
            </c:strRef>
          </c:cat>
          <c:val>
            <c:numRef>
              <c:f>結果!$X$8:$X$10</c:f>
              <c:numCache>
                <c:formatCode>General</c:formatCode>
                <c:ptCount val="3"/>
                <c:pt idx="0">
                  <c:v>4</c:v>
                </c:pt>
                <c:pt idx="1">
                  <c:v>4</c:v>
                </c:pt>
                <c:pt idx="2">
                  <c:v>4</c:v>
                </c:pt>
              </c:numCache>
            </c:numRef>
          </c:val>
          <c:extLst>
            <c:ext xmlns:c16="http://schemas.microsoft.com/office/drawing/2014/chart" uri="{C3380CC4-5D6E-409C-BE32-E72D297353CC}">
              <c16:uniqueId val="{00000001-04F0-40E4-999C-98689E1F35B7}"/>
            </c:ext>
          </c:extLst>
        </c:ser>
        <c:ser>
          <c:idx val="2"/>
          <c:order val="1"/>
          <c:spPr>
            <a:noFill/>
            <a:ln w="12700">
              <a:solidFill>
                <a:srgbClr val="000000"/>
              </a:solidFill>
              <a:prstDash val="solid"/>
            </a:ln>
          </c:spPr>
          <c:cat>
            <c:strRef>
              <c:f>結果!$V$8:$V$10</c:f>
              <c:strCache>
                <c:ptCount val="3"/>
                <c:pt idx="0">
                  <c:v>Qw2 
健康性・快適性</c:v>
                </c:pt>
                <c:pt idx="1">
                  <c:v>Qw3 
知的生産性向上</c:v>
                </c:pt>
                <c:pt idx="2">
                  <c:v>Qw1 
安全・安心性</c:v>
                </c:pt>
              </c:strCache>
            </c:strRef>
          </c:cat>
          <c:val>
            <c:numRef>
              <c:f>結果!$Y$8:$Y$10</c:f>
              <c:numCache>
                <c:formatCode>General</c:formatCode>
                <c:ptCount val="3"/>
                <c:pt idx="0">
                  <c:v>2</c:v>
                </c:pt>
                <c:pt idx="1">
                  <c:v>2</c:v>
                </c:pt>
                <c:pt idx="2">
                  <c:v>2</c:v>
                </c:pt>
              </c:numCache>
            </c:numRef>
          </c:val>
          <c:extLst>
            <c:ext xmlns:c16="http://schemas.microsoft.com/office/drawing/2014/chart" uri="{C3380CC4-5D6E-409C-BE32-E72D297353CC}">
              <c16:uniqueId val="{00000002-04F0-40E4-999C-98689E1F35B7}"/>
            </c:ext>
          </c:extLst>
        </c:ser>
        <c:ser>
          <c:idx val="3"/>
          <c:order val="2"/>
          <c:spPr>
            <a:pattFill prst="pct50">
              <a:fgClr>
                <a:srgbClr val="CCCCFF"/>
              </a:fgClr>
              <a:bgClr>
                <a:srgbClr val="FFFFFF"/>
              </a:bgClr>
            </a:pattFill>
            <a:ln w="12700">
              <a:solidFill>
                <a:srgbClr val="002060"/>
              </a:solidFill>
              <a:prstDash val="solid"/>
            </a:ln>
          </c:spPr>
          <c:cat>
            <c:strRef>
              <c:f>結果!$V$8:$V$10</c:f>
              <c:strCache>
                <c:ptCount val="3"/>
                <c:pt idx="0">
                  <c:v>Qw2 
健康性・快適性</c:v>
                </c:pt>
                <c:pt idx="1">
                  <c:v>Qw3 
知的生産性向上</c:v>
                </c:pt>
                <c:pt idx="2">
                  <c:v>Qw1 
安全・安心性</c:v>
                </c:pt>
              </c:strCache>
            </c:strRef>
          </c:cat>
          <c:val>
            <c:numRef>
              <c:f>結果!$Z$8:$Z$10</c:f>
              <c:numCache>
                <c:formatCode>General</c:formatCode>
                <c:ptCount val="3"/>
                <c:pt idx="0">
                  <c:v>3</c:v>
                </c:pt>
                <c:pt idx="1">
                  <c:v>3</c:v>
                </c:pt>
                <c:pt idx="2">
                  <c:v>3.1</c:v>
                </c:pt>
              </c:numCache>
            </c:numRef>
          </c:val>
          <c:extLst>
            <c:ext xmlns:c16="http://schemas.microsoft.com/office/drawing/2014/chart" uri="{C3380CC4-5D6E-409C-BE32-E72D297353CC}">
              <c16:uniqueId val="{00000003-04F0-40E4-999C-98689E1F35B7}"/>
            </c:ext>
          </c:extLst>
        </c:ser>
        <c:ser>
          <c:idx val="4"/>
          <c:order val="3"/>
          <c:spPr>
            <a:noFill/>
            <a:ln w="3175">
              <a:solidFill>
                <a:srgbClr val="FF0000"/>
              </a:solidFill>
              <a:prstDash val="solid"/>
            </a:ln>
          </c:spPr>
          <c:cat>
            <c:strRef>
              <c:f>結果!$V$8:$V$10</c:f>
              <c:strCache>
                <c:ptCount val="3"/>
                <c:pt idx="0">
                  <c:v>Qw2 
健康性・快適性</c:v>
                </c:pt>
                <c:pt idx="1">
                  <c:v>Qw3 
知的生産性向上</c:v>
                </c:pt>
                <c:pt idx="2">
                  <c:v>Qw1 
安全・安心性</c:v>
                </c:pt>
              </c:strCache>
            </c:strRef>
          </c:cat>
          <c:val>
            <c:numRef>
              <c:f>結果!$AA$8:$AA$10</c:f>
              <c:numCache>
                <c:formatCode>General</c:formatCode>
                <c:ptCount val="3"/>
                <c:pt idx="0">
                  <c:v>3</c:v>
                </c:pt>
                <c:pt idx="1">
                  <c:v>3</c:v>
                </c:pt>
                <c:pt idx="2">
                  <c:v>3</c:v>
                </c:pt>
              </c:numCache>
            </c:numRef>
          </c:val>
          <c:extLst>
            <c:ext xmlns:c16="http://schemas.microsoft.com/office/drawing/2014/chart" uri="{C3380CC4-5D6E-409C-BE32-E72D297353CC}">
              <c16:uniqueId val="{00000004-04F0-40E4-999C-98689E1F35B7}"/>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D-4105-B8C5-257F9A2423C4}"/>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7D-4105-B8C5-257F9A2423C4}"/>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7D-4105-B8C5-257F9A2423C4}"/>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7D-4105-B8C5-257F9A2423C4}"/>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7D-4105-B8C5-257F9A2423C4}"/>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7D-4105-B8C5-257F9A2423C4}"/>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結果!$R$49:$R$53</c:f>
              <c:strCache>
                <c:ptCount val="5"/>
                <c:pt idx="0">
                  <c:v>災害対応</c:v>
                </c:pt>
                <c:pt idx="1">
                  <c:v>防犯、非常時対応</c:v>
                </c:pt>
                <c:pt idx="2">
                  <c:v>有害物質対策</c:v>
                </c:pt>
                <c:pt idx="3">
                  <c:v>水質安全性</c:v>
                </c:pt>
                <c:pt idx="4">
                  <c:v>ユニバーサルデザイン</c:v>
                </c:pt>
              </c:strCache>
            </c:strRef>
          </c:cat>
          <c:val>
            <c:numRef>
              <c:f>結果!$S$49:$S$53</c:f>
              <c:numCache>
                <c:formatCode>0.0</c:formatCode>
                <c:ptCount val="5"/>
                <c:pt idx="0">
                  <c:v>3.3</c:v>
                </c:pt>
                <c:pt idx="1">
                  <c:v>3</c:v>
                </c:pt>
                <c:pt idx="2">
                  <c:v>3</c:v>
                </c:pt>
                <c:pt idx="3">
                  <c:v>3</c:v>
                </c:pt>
                <c:pt idx="4">
                  <c:v>3</c:v>
                </c:pt>
              </c:numCache>
            </c:numRef>
          </c:val>
          <c:extLst>
            <c:ext xmlns:c16="http://schemas.microsoft.com/office/drawing/2014/chart" uri="{C3380CC4-5D6E-409C-BE32-E72D297353CC}">
              <c16:uniqueId val="{00000000-CEB3-4DCF-A234-B140626EA522}"/>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one"/>
        <c:spPr>
          <a:ln w="3175">
            <a:solidFill>
              <a:srgbClr val="000000"/>
            </a:solidFill>
            <a:prstDash val="solid"/>
          </a:ln>
        </c:spPr>
        <c:crossAx val="162888896"/>
        <c:crossesAt val="0"/>
        <c:auto val="1"/>
        <c:lblAlgn val="ctr"/>
        <c:lblOffset val="100"/>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468614788274E-2"/>
          <c:y val="8.4337597472695883E-2"/>
          <c:w val="0.93602058257704168"/>
          <c:h val="0.72891780672830009"/>
        </c:manualLayout>
      </c:layout>
      <c:barChart>
        <c:barDir val="col"/>
        <c:grouping val="clustered"/>
        <c:varyColors val="0"/>
        <c:ser>
          <c:idx val="0"/>
          <c:order val="0"/>
          <c:spPr>
            <a:solidFill>
              <a:srgbClr val="FFCCCC"/>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517-426F-8A3A-26B98C5D97FF}"/>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517-426F-8A3A-26B98C5D97FF}"/>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517-426F-8A3A-26B98C5D97FF}"/>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結果!$U$49:$U$56</c:f>
              <c:strCache>
                <c:ptCount val="8"/>
                <c:pt idx="0">
                  <c:v>デザイン性</c:v>
                </c:pt>
                <c:pt idx="1">
                  <c:v>リフレッシュ</c:v>
                </c:pt>
                <c:pt idx="2">
                  <c:v>運動</c:v>
                </c:pt>
                <c:pt idx="3">
                  <c:v>音環境</c:v>
                </c:pt>
                <c:pt idx="4">
                  <c:v>光・視環境</c:v>
                </c:pt>
                <c:pt idx="5">
                  <c:v>熱・空気環境</c:v>
                </c:pt>
                <c:pt idx="6">
                  <c:v>維持管理計画</c:v>
                </c:pt>
                <c:pt idx="7">
                  <c:v>満足度調査</c:v>
                </c:pt>
              </c:strCache>
            </c:strRef>
          </c:cat>
          <c:val>
            <c:numRef>
              <c:f>結果!$V$49:$V$56</c:f>
              <c:numCache>
                <c:formatCode>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2288-4330-AD85-943F74F1E56A}"/>
            </c:ext>
          </c:extLst>
        </c:ser>
        <c:dLbls>
          <c:showLegendKey val="0"/>
          <c:showVal val="1"/>
          <c:showCatName val="0"/>
          <c:showSerName val="0"/>
          <c:showPercent val="0"/>
          <c:showBubbleSize val="0"/>
        </c:dLbls>
        <c:gapWidth val="40"/>
        <c:axId val="162885368"/>
        <c:axId val="162885760"/>
      </c:barChart>
      <c:catAx>
        <c:axId val="162885368"/>
        <c:scaling>
          <c:orientation val="minMax"/>
        </c:scaling>
        <c:delete val="0"/>
        <c:axPos val="b"/>
        <c:numFmt formatCode="General" sourceLinked="1"/>
        <c:majorTickMark val="none"/>
        <c:minorTickMark val="none"/>
        <c:tickLblPos val="none"/>
        <c:spPr>
          <a:ln w="3175">
            <a:solidFill>
              <a:srgbClr val="000000"/>
            </a:solidFill>
            <a:prstDash val="solid"/>
          </a:ln>
        </c:spPr>
        <c:crossAx val="162885760"/>
        <c:crossesAt val="0"/>
        <c:auto val="1"/>
        <c:lblAlgn val="ctr"/>
        <c:lblOffset val="100"/>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chemeClr val="accent5">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D2-4E99-8671-2D8B3CC1A7FC}"/>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D2-4E99-8671-2D8B3CC1A7FC}"/>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D2-4E99-8671-2D8B3CC1A7FC}"/>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結果!$X$49:$X$53</c:f>
              <c:strCache>
                <c:ptCount val="5"/>
                <c:pt idx="0">
                  <c:v>空間・内装</c:v>
                </c:pt>
                <c:pt idx="1">
                  <c:v>作業環境</c:v>
                </c:pt>
                <c:pt idx="2">
                  <c:v>移動空間・コミュニケーション</c:v>
                </c:pt>
                <c:pt idx="3">
                  <c:v>情報通信</c:v>
                </c:pt>
                <c:pt idx="4">
                  <c:v>健康性サービス</c:v>
                </c:pt>
              </c:strCache>
            </c:strRef>
          </c:cat>
          <c:val>
            <c:numRef>
              <c:f>結果!$Y$49:$Y$53</c:f>
              <c:numCache>
                <c:formatCode>0.0</c:formatCode>
                <c:ptCount val="5"/>
                <c:pt idx="0">
                  <c:v>3</c:v>
                </c:pt>
                <c:pt idx="1">
                  <c:v>3</c:v>
                </c:pt>
                <c:pt idx="2">
                  <c:v>3</c:v>
                </c:pt>
                <c:pt idx="3">
                  <c:v>3</c:v>
                </c:pt>
                <c:pt idx="4">
                  <c:v>3</c:v>
                </c:pt>
              </c:numCache>
            </c:numRef>
          </c:val>
          <c:extLst>
            <c:ext xmlns:c16="http://schemas.microsoft.com/office/drawing/2014/chart" uri="{C3380CC4-5D6E-409C-BE32-E72D297353CC}">
              <c16:uniqueId val="{00000003-E1AB-4A71-BD36-FA260891FA44}"/>
            </c:ext>
          </c:extLst>
        </c:ser>
        <c:dLbls>
          <c:showLegendKey val="0"/>
          <c:showVal val="1"/>
          <c:showCatName val="0"/>
          <c:showSerName val="0"/>
          <c:showPercent val="0"/>
          <c:showBubbleSize val="0"/>
        </c:dLbls>
        <c:gapWidth val="40"/>
        <c:axId val="165117456"/>
        <c:axId val="165114712"/>
      </c:barChart>
      <c:catAx>
        <c:axId val="165117456"/>
        <c:scaling>
          <c:orientation val="minMax"/>
        </c:scaling>
        <c:delete val="0"/>
        <c:axPos val="b"/>
        <c:numFmt formatCode="General" sourceLinked="1"/>
        <c:majorTickMark val="none"/>
        <c:minorTickMark val="none"/>
        <c:tickLblPos val="none"/>
        <c:spPr>
          <a:ln w="3175">
            <a:solidFill>
              <a:srgbClr val="000000"/>
            </a:solidFill>
            <a:prstDash val="solid"/>
          </a:ln>
        </c:spPr>
        <c:crossAx val="165114712"/>
        <c:crossesAt val="0"/>
        <c:auto val="1"/>
        <c:lblAlgn val="ctr"/>
        <c:lblOffset val="100"/>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tx>
            <c:strRef>
              <c:f>結果!$AJ$50</c:f>
              <c:strCache>
                <c:ptCount val="1"/>
                <c:pt idx="0">
                  <c:v>Score(RoundDown)</c:v>
                </c:pt>
              </c:strCache>
            </c:strRef>
          </c:tx>
          <c:spPr>
            <a:solidFill>
              <a:schemeClr val="accent4">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49-419A-B325-FB062575B0CD}"/>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49-419A-B325-FB062575B0CD}"/>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49-419A-B325-FB062575B0CD}"/>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結果!$AI$51:$AI$53</c:f>
              <c:strCache>
                <c:ptCount val="3"/>
                <c:pt idx="0">
                  <c:v>建築・設備</c:v>
                </c:pt>
                <c:pt idx="1">
                  <c:v>維持管理</c:v>
                </c:pt>
                <c:pt idx="2">
                  <c:v>ﾌﾟﾛｸﾞﾗﾑ</c:v>
                </c:pt>
              </c:strCache>
            </c:strRef>
          </c:cat>
          <c:val>
            <c:numRef>
              <c:f>結果!$AJ$51:$AJ$53</c:f>
              <c:numCache>
                <c:formatCode>0.0</c:formatCode>
                <c:ptCount val="3"/>
                <c:pt idx="0">
                  <c:v>3</c:v>
                </c:pt>
                <c:pt idx="1">
                  <c:v>3</c:v>
                </c:pt>
                <c:pt idx="2">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99-42A1-9169-AD132056ACEA}"/>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99-42A1-9169-AD132056ACEA}"/>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99-42A1-9169-AD132056ACEA}"/>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結果!$AB$50:$AB$53</c:f>
              <c:strCache>
                <c:ptCount val="4"/>
                <c:pt idx="0">
                  <c:v>作業効率</c:v>
                </c:pt>
                <c:pt idx="1">
                  <c:v>知識創造</c:v>
                </c:pt>
                <c:pt idx="2">
                  <c:v>人材確保</c:v>
                </c:pt>
                <c:pt idx="3">
                  <c:v>意欲向上</c:v>
                </c:pt>
              </c:strCache>
            </c:strRef>
          </c:cat>
          <c:val>
            <c:numRef>
              <c:f>結果!$AC$50:$AC$53</c:f>
              <c:numCache>
                <c:formatCode>0.0</c:formatCode>
                <c:ptCount val="4"/>
                <c:pt idx="0">
                  <c:v>3</c:v>
                </c:pt>
                <c:pt idx="1">
                  <c:v>3</c:v>
                </c:pt>
                <c:pt idx="2">
                  <c:v>3</c:v>
                </c:pt>
                <c:pt idx="3">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96DAC541-7B7A-43D3-8B79-37D633B846F1}">
                    <asvg:svgBlip xmlns:asvg="http://schemas.microsoft.com/office/drawing/2016/SVG/main" r:embed="rId2"/>
                  </a:ext>
                </a:extLst>
              </a:blip>
              <a:srcRect/>
              <a:stretch>
                <a:fillRect/>
              </a:stretch>
            </a:blipFill>
            <a:ln w="25400">
              <a:noFill/>
            </a:ln>
          </c:spPr>
          <c:invertIfNegative val="0"/>
          <c:pictureOptions>
            <c:pictureFormat val="stackScale"/>
            <c:pictureStackUnit val="20"/>
          </c:pictureOptions>
          <c:cat>
            <c:strRef>
              <c:f>'結果(感染対策)'!$R$15</c:f>
              <c:strCache>
                <c:ptCount val="1"/>
                <c:pt idx="0">
                  <c:v>Rank(blue star)</c:v>
                </c:pt>
              </c:strCache>
            </c:strRef>
          </c:cat>
          <c:val>
            <c:numRef>
              <c:f>'結果(感染対策)'!$S$15</c:f>
              <c:numCache>
                <c:formatCode>#,##0.0;[Red]\-#,##0.0</c:formatCode>
                <c:ptCount val="1"/>
                <c:pt idx="0">
                  <c:v>0.6</c:v>
                </c:pt>
              </c:numCache>
            </c:numRef>
          </c:val>
          <c:extLst>
            <c:ext xmlns:c16="http://schemas.microsoft.com/office/drawing/2014/chart" uri="{C3380CC4-5D6E-409C-BE32-E72D297353CC}">
              <c16:uniqueId val="{00000000-91F5-430B-A9D0-08994A6E24F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'結果(感染対策)'!$R$15</c:f>
              <c:strCache>
                <c:ptCount val="1"/>
                <c:pt idx="0">
                  <c:v>Rank(blue star)</c:v>
                </c:pt>
              </c:strCache>
            </c:strRef>
          </c:cat>
          <c:val>
            <c:numRef>
              <c:f>'結果(感染対策)'!$S$16</c:f>
              <c:numCache>
                <c:formatCode>#,##0.0;[Red]\-#,##0.0</c:formatCode>
                <c:ptCount val="1"/>
                <c:pt idx="0">
                  <c:v>0.4</c:v>
                </c:pt>
              </c:numCache>
            </c:numRef>
          </c:val>
          <c:extLst>
            <c:ext xmlns:c16="http://schemas.microsoft.com/office/drawing/2014/chart" uri="{C3380CC4-5D6E-409C-BE32-E72D297353CC}">
              <c16:uniqueId val="{00000001-91F5-430B-A9D0-08994A6E24FF}"/>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1178760077843"/>
          <c:y val="0.10412681042072773"/>
          <c:w val="0.5494158517925043"/>
          <c:h val="0.84149435021997632"/>
        </c:manualLayout>
      </c:layout>
      <c:radarChart>
        <c:radarStyle val="filled"/>
        <c:varyColors val="0"/>
        <c:ser>
          <c:idx val="1"/>
          <c:order val="0"/>
          <c:spPr>
            <a:noFill/>
            <a:ln w="3175">
              <a:solidFill>
                <a:srgbClr val="000000"/>
              </a:solidFill>
              <a:prstDash val="solid"/>
            </a:ln>
          </c:spPr>
          <c:cat>
            <c:strRef>
              <c:f>'結果(感染対策)'!$V$8:$V$10</c:f>
              <c:strCache>
                <c:ptCount val="3"/>
                <c:pt idx="0">
                  <c:v>②空気感染</c:v>
                </c:pt>
                <c:pt idx="1">
                  <c:v>③その他</c:v>
                </c:pt>
                <c:pt idx="2">
                  <c:v>①飛沫感染</c:v>
                </c:pt>
              </c:strCache>
            </c:strRef>
          </c:cat>
          <c:val>
            <c:numRef>
              <c:f>'結果(感染対策)'!$X$8:$X$10</c:f>
              <c:numCache>
                <c:formatCode>General</c:formatCode>
                <c:ptCount val="3"/>
                <c:pt idx="0">
                  <c:v>4</c:v>
                </c:pt>
                <c:pt idx="1">
                  <c:v>4</c:v>
                </c:pt>
                <c:pt idx="2">
                  <c:v>4</c:v>
                </c:pt>
              </c:numCache>
            </c:numRef>
          </c:val>
          <c:extLst>
            <c:ext xmlns:c16="http://schemas.microsoft.com/office/drawing/2014/chart" uri="{C3380CC4-5D6E-409C-BE32-E72D297353CC}">
              <c16:uniqueId val="{00000000-BAA8-4000-9F34-D82F5E8F2B42}"/>
            </c:ext>
          </c:extLst>
        </c:ser>
        <c:ser>
          <c:idx val="2"/>
          <c:order val="1"/>
          <c:spPr>
            <a:noFill/>
            <a:ln w="12700">
              <a:solidFill>
                <a:srgbClr val="000000"/>
              </a:solidFill>
              <a:prstDash val="solid"/>
            </a:ln>
          </c:spPr>
          <c:cat>
            <c:strRef>
              <c:f>'結果(感染対策)'!$V$8:$V$10</c:f>
              <c:strCache>
                <c:ptCount val="3"/>
                <c:pt idx="0">
                  <c:v>②空気感染</c:v>
                </c:pt>
                <c:pt idx="1">
                  <c:v>③その他</c:v>
                </c:pt>
                <c:pt idx="2">
                  <c:v>①飛沫感染</c:v>
                </c:pt>
              </c:strCache>
            </c:strRef>
          </c:cat>
          <c:val>
            <c:numRef>
              <c:f>'結果(感染対策)'!$Y$8:$Y$10</c:f>
              <c:numCache>
                <c:formatCode>General</c:formatCode>
                <c:ptCount val="3"/>
                <c:pt idx="0">
                  <c:v>2</c:v>
                </c:pt>
                <c:pt idx="1">
                  <c:v>2</c:v>
                </c:pt>
                <c:pt idx="2">
                  <c:v>2</c:v>
                </c:pt>
              </c:numCache>
            </c:numRef>
          </c:val>
          <c:extLst>
            <c:ext xmlns:c16="http://schemas.microsoft.com/office/drawing/2014/chart" uri="{C3380CC4-5D6E-409C-BE32-E72D297353CC}">
              <c16:uniqueId val="{00000001-BAA8-4000-9F34-D82F5E8F2B42}"/>
            </c:ext>
          </c:extLst>
        </c:ser>
        <c:ser>
          <c:idx val="3"/>
          <c:order val="2"/>
          <c:spPr>
            <a:solidFill>
              <a:srgbClr val="FFC000"/>
            </a:solidFill>
            <a:ln w="12700">
              <a:solidFill>
                <a:schemeClr val="accent2">
                  <a:lumMod val="75000"/>
                </a:schemeClr>
              </a:solidFill>
              <a:prstDash val="solid"/>
            </a:ln>
          </c:spPr>
          <c:cat>
            <c:strRef>
              <c:f>'結果(感染対策)'!$V$8:$V$10</c:f>
              <c:strCache>
                <c:ptCount val="3"/>
                <c:pt idx="0">
                  <c:v>②空気感染</c:v>
                </c:pt>
                <c:pt idx="1">
                  <c:v>③その他</c:v>
                </c:pt>
                <c:pt idx="2">
                  <c:v>①飛沫感染</c:v>
                </c:pt>
              </c:strCache>
            </c:strRef>
          </c:cat>
          <c:val>
            <c:numRef>
              <c:f>'結果(感染対策)'!$Z$8:$Z$10</c:f>
              <c:numCache>
                <c:formatCode>General</c:formatCode>
                <c:ptCount val="3"/>
                <c:pt idx="0">
                  <c:v>3</c:v>
                </c:pt>
                <c:pt idx="1">
                  <c:v>3</c:v>
                </c:pt>
                <c:pt idx="2">
                  <c:v>3</c:v>
                </c:pt>
              </c:numCache>
            </c:numRef>
          </c:val>
          <c:extLst>
            <c:ext xmlns:c16="http://schemas.microsoft.com/office/drawing/2014/chart" uri="{C3380CC4-5D6E-409C-BE32-E72D297353CC}">
              <c16:uniqueId val="{00000002-BAA8-4000-9F34-D82F5E8F2B42}"/>
            </c:ext>
          </c:extLst>
        </c:ser>
        <c:ser>
          <c:idx val="4"/>
          <c:order val="3"/>
          <c:spPr>
            <a:noFill/>
            <a:ln w="3175">
              <a:solidFill>
                <a:srgbClr val="FF0000"/>
              </a:solidFill>
            </a:ln>
          </c:spPr>
          <c:cat>
            <c:strRef>
              <c:f>'結果(感染対策)'!$V$8:$V$10</c:f>
              <c:strCache>
                <c:ptCount val="3"/>
                <c:pt idx="0">
                  <c:v>②空気感染</c:v>
                </c:pt>
                <c:pt idx="1">
                  <c:v>③その他</c:v>
                </c:pt>
                <c:pt idx="2">
                  <c:v>①飛沫感染</c:v>
                </c:pt>
              </c:strCache>
            </c:strRef>
          </c:cat>
          <c:val>
            <c:numRef>
              <c:f>'結果(感染対策)'!$AA$8:$AA$10</c:f>
              <c:numCache>
                <c:formatCode>General</c:formatCode>
                <c:ptCount val="3"/>
                <c:pt idx="0">
                  <c:v>3</c:v>
                </c:pt>
                <c:pt idx="1">
                  <c:v>3</c:v>
                </c:pt>
                <c:pt idx="2">
                  <c:v>3</c:v>
                </c:pt>
              </c:numCache>
            </c:numRef>
          </c:val>
          <c:extLst>
            <c:ext xmlns:c16="http://schemas.microsoft.com/office/drawing/2014/chart" uri="{C3380CC4-5D6E-409C-BE32-E72D297353CC}">
              <c16:uniqueId val="{00000003-BAA8-4000-9F34-D82F5E8F2B42}"/>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B-4C19-A47B-9F20E7120038}"/>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2B-4C19-A47B-9F20E7120038}"/>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B-4C19-A47B-9F20E7120038}"/>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2B-4C19-A47B-9F20E7120038}"/>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2B-4C19-A47B-9F20E7120038}"/>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B-4C19-A47B-9F20E7120038}"/>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'結果(感染対策)'!$R$49:$R$53</c:f>
              <c:strCache>
                <c:ptCount val="5"/>
                <c:pt idx="0">
                  <c:v>空間の形状・自由さ</c:v>
                </c:pt>
                <c:pt idx="1">
                  <c:v>広さ</c:v>
                </c:pt>
                <c:pt idx="2">
                  <c:v>ＯＡ機器等の充実度</c:v>
                </c:pt>
                <c:pt idx="3">
                  <c:v>高度情報通信インフラ</c:v>
                </c:pt>
                <c:pt idx="4">
                  <c:v>健康維持・増進プログラム</c:v>
                </c:pt>
              </c:strCache>
            </c:strRef>
          </c:cat>
          <c:val>
            <c:numRef>
              <c:f>'結果(感染対策)'!$S$49:$S$53</c:f>
              <c:numCache>
                <c:formatCode>0.0</c:formatCode>
                <c:ptCount val="5"/>
                <c:pt idx="0">
                  <c:v>3</c:v>
                </c:pt>
                <c:pt idx="1">
                  <c:v>3</c:v>
                </c:pt>
                <c:pt idx="2">
                  <c:v>3</c:v>
                </c:pt>
                <c:pt idx="3">
                  <c:v>3</c:v>
                </c:pt>
                <c:pt idx="4">
                  <c:v>3</c:v>
                </c:pt>
              </c:numCache>
            </c:numRef>
          </c:val>
          <c:extLst>
            <c:ext xmlns:c16="http://schemas.microsoft.com/office/drawing/2014/chart" uri="{C3380CC4-5D6E-409C-BE32-E72D297353CC}">
              <c16:uniqueId val="{00000006-942B-4C19-A47B-9F20E7120038}"/>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a:pPr>
            <a:endParaRPr lang="ja-JP"/>
          </a:p>
        </c:txPr>
        <c:crossAx val="162888896"/>
        <c:crossesAt val="0"/>
        <c:auto val="1"/>
        <c:lblAlgn val="ctr"/>
        <c:lblOffset val="10"/>
        <c:tickLblSkip val="1"/>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468614788274E-2"/>
          <c:y val="8.4337597472695883E-2"/>
          <c:w val="0.93602058257704168"/>
          <c:h val="0.72891780672830009"/>
        </c:manualLayout>
      </c:layout>
      <c:barChart>
        <c:barDir val="col"/>
        <c:grouping val="clustered"/>
        <c:varyColors val="0"/>
        <c:ser>
          <c:idx val="0"/>
          <c:order val="0"/>
          <c:spPr>
            <a:solidFill>
              <a:srgbClr val="FFCCCC"/>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560-4951-99E3-A8856F9155E0}"/>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560-4951-99E3-A8856F9155E0}"/>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560-4951-99E3-A8856F9155E0}"/>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'結果(感染対策)'!$U$49:$U$56</c:f>
              <c:strCache>
                <c:ptCount val="8"/>
                <c:pt idx="0">
                  <c:v>空調方式および個別制御性</c:v>
                </c:pt>
                <c:pt idx="1">
                  <c:v>換気量</c:v>
                </c:pt>
                <c:pt idx="2">
                  <c:v>自然換気性能</c:v>
                </c:pt>
                <c:pt idx="3">
                  <c:v>維持管理用機能の確保</c:v>
                </c:pt>
                <c:pt idx="4">
                  <c:v>維持保全計画</c:v>
                </c:pt>
                <c:pt idx="5">
                  <c:v>定期調査・検査報告書</c:v>
                </c:pt>
                <c:pt idx="6">
                  <c:v>維持管理レベル</c:v>
                </c:pt>
                <c:pt idx="7">
                  <c:v>健康維持・増進プログラム</c:v>
                </c:pt>
              </c:strCache>
            </c:strRef>
          </c:cat>
          <c:val>
            <c:numRef>
              <c:f>'結果(感染対策)'!$V$49:$V$56</c:f>
              <c:numCache>
                <c:formatCode>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E560-4951-99E3-A8856F9155E0}"/>
            </c:ext>
          </c:extLst>
        </c:ser>
        <c:dLbls>
          <c:showLegendKey val="0"/>
          <c:showVal val="1"/>
          <c:showCatName val="0"/>
          <c:showSerName val="0"/>
          <c:showPercent val="0"/>
          <c:showBubbleSize val="0"/>
        </c:dLbls>
        <c:gapWidth val="40"/>
        <c:axId val="162885368"/>
        <c:axId val="162885760"/>
      </c:barChart>
      <c:catAx>
        <c:axId val="16288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a:pPr>
            <a:endParaRPr lang="ja-JP"/>
          </a:p>
        </c:txPr>
        <c:crossAx val="162885760"/>
        <c:crossesAt val="0"/>
        <c:auto val="1"/>
        <c:lblAlgn val="ctr"/>
        <c:lblOffset val="10"/>
        <c:tickLblSkip val="1"/>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3960442444694419"/>
        </c:manualLayout>
      </c:layout>
      <c:barChart>
        <c:barDir val="col"/>
        <c:grouping val="clustered"/>
        <c:varyColors val="0"/>
        <c:ser>
          <c:idx val="0"/>
          <c:order val="0"/>
          <c:spPr>
            <a:solidFill>
              <a:schemeClr val="accent5">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0B5-4D6D-8CCA-8D06BB0B9979}"/>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0B5-4D6D-8CCA-8D06BB0B9979}"/>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0B5-4D6D-8CCA-8D06BB0B9979}"/>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'結果(感染対策)'!$X$49:$X$51</c:f>
              <c:strCache>
                <c:ptCount val="3"/>
                <c:pt idx="0">
                  <c:v>設備機器の区画別運用の可変性</c:v>
                </c:pt>
                <c:pt idx="1">
                  <c:v>情報共有インフラ</c:v>
                </c:pt>
                <c:pt idx="2">
                  <c:v>健康維持・増進プログラム</c:v>
                </c:pt>
              </c:strCache>
            </c:strRef>
          </c:cat>
          <c:val>
            <c:numRef>
              <c:f>'結果(感染対策)'!$Y$49:$Y$51</c:f>
              <c:numCache>
                <c:formatCode>0.0</c:formatCode>
                <c:ptCount val="3"/>
                <c:pt idx="0">
                  <c:v>3</c:v>
                </c:pt>
                <c:pt idx="1">
                  <c:v>3</c:v>
                </c:pt>
                <c:pt idx="2">
                  <c:v>3</c:v>
                </c:pt>
              </c:numCache>
            </c:numRef>
          </c:val>
          <c:extLst>
            <c:ext xmlns:c16="http://schemas.microsoft.com/office/drawing/2014/chart" uri="{C3380CC4-5D6E-409C-BE32-E72D297353CC}">
              <c16:uniqueId val="{00000003-20B5-4D6D-8CCA-8D06BB0B9979}"/>
            </c:ext>
          </c:extLst>
        </c:ser>
        <c:dLbls>
          <c:showLegendKey val="0"/>
          <c:showVal val="1"/>
          <c:showCatName val="0"/>
          <c:showSerName val="0"/>
          <c:showPercent val="0"/>
          <c:showBubbleSize val="0"/>
        </c:dLbls>
        <c:gapWidth val="40"/>
        <c:axId val="165117456"/>
        <c:axId val="165114712"/>
      </c:barChart>
      <c:catAx>
        <c:axId val="1651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a:pPr>
            <a:endParaRPr lang="ja-JP"/>
          </a:p>
        </c:txPr>
        <c:crossAx val="165114712"/>
        <c:crossesAt val="0"/>
        <c:auto val="1"/>
        <c:lblAlgn val="ctr"/>
        <c:lblOffset val="10"/>
        <c:tickLblSkip val="1"/>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image" Target="../media/image3.emf"/><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156955</xdr:colOff>
      <xdr:row>1</xdr:row>
      <xdr:rowOff>28576</xdr:rowOff>
    </xdr:from>
    <xdr:to>
      <xdr:col>5</xdr:col>
      <xdr:colOff>536713</xdr:colOff>
      <xdr:row>2</xdr:row>
      <xdr:rowOff>251791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27967"/>
          <a:ext cx="5594488" cy="541267"/>
        </a:xfrm>
        <a:prstGeom prst="rect">
          <a:avLst/>
        </a:prstGeom>
      </xdr:spPr>
    </xdr:pic>
    <xdr:clientData/>
  </xdr:twoCellAnchor>
  <xdr:twoCellAnchor editAs="oneCell">
    <xdr:from>
      <xdr:col>1</xdr:col>
      <xdr:colOff>455544</xdr:colOff>
      <xdr:row>46</xdr:row>
      <xdr:rowOff>164164</xdr:rowOff>
    </xdr:from>
    <xdr:to>
      <xdr:col>5</xdr:col>
      <xdr:colOff>62949</xdr:colOff>
      <xdr:row>91</xdr:row>
      <xdr:rowOff>140804</xdr:rowOff>
    </xdr:to>
    <xdr:pic>
      <xdr:nvPicPr>
        <xdr:cNvPr id="55" name="図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66" y="5920577"/>
          <a:ext cx="5405231" cy="205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44" name="Chart 12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12337</xdr:colOff>
      <xdr:row>22</xdr:row>
      <xdr:rowOff>198120</xdr:rowOff>
    </xdr:from>
    <xdr:to>
      <xdr:col>14</xdr:col>
      <xdr:colOff>717187</xdr:colOff>
      <xdr:row>41</xdr:row>
      <xdr:rowOff>71755</xdr:rowOff>
    </xdr:to>
    <xdr:graphicFrame macro="">
      <xdr:nvGraphicFramePr>
        <xdr:cNvPr id="56" name="Chart 8">
          <a:extLst>
            <a:ext uri="{FF2B5EF4-FFF2-40B4-BE49-F238E27FC236}">
              <a16:creationId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15875</xdr:colOff>
      <xdr:row>42</xdr:row>
      <xdr:rowOff>133350</xdr:rowOff>
    </xdr:from>
    <xdr:to>
      <xdr:col>7</xdr:col>
      <xdr:colOff>678181</xdr:colOff>
      <xdr:row>51</xdr:row>
      <xdr:rowOff>12698</xdr:rowOff>
    </xdr:to>
    <xdr:graphicFrame macro="">
      <xdr:nvGraphicFramePr>
        <xdr:cNvPr id="57" name="Chart 4">
          <a:extLst>
            <a:ext uri="{FF2B5EF4-FFF2-40B4-BE49-F238E27FC236}">
              <a16:creationId xmlns:a16="http://schemas.microsoft.com/office/drawing/2014/main"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586740</xdr:colOff>
      <xdr:row>42</xdr:row>
      <xdr:rowOff>133349</xdr:rowOff>
    </xdr:from>
    <xdr:to>
      <xdr:col>14</xdr:col>
      <xdr:colOff>739140</xdr:colOff>
      <xdr:row>51</xdr:row>
      <xdr:rowOff>0</xdr:rowOff>
    </xdr:to>
    <xdr:graphicFrame macro="">
      <xdr:nvGraphicFramePr>
        <xdr:cNvPr id="59" name="Chart 15">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53</xdr:row>
      <xdr:rowOff>83819</xdr:rowOff>
    </xdr:from>
    <xdr:to>
      <xdr:col>7</xdr:col>
      <xdr:colOff>567690</xdr:colOff>
      <xdr:row>61</xdr:row>
      <xdr:rowOff>144780</xdr:rowOff>
    </xdr:to>
    <xdr:graphicFrame macro="">
      <xdr:nvGraphicFramePr>
        <xdr:cNvPr id="60" name="Chart 15">
          <a:extLst>
            <a:ext uri="{FF2B5EF4-FFF2-40B4-BE49-F238E27FC236}">
              <a16:creationId xmlns:a16="http://schemas.microsoft.com/office/drawing/2014/main" id="{00000000-0008-0000-0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62285</xdr:colOff>
      <xdr:row>54</xdr:row>
      <xdr:rowOff>15239</xdr:rowOff>
    </xdr:from>
    <xdr:to>
      <xdr:col>11</xdr:col>
      <xdr:colOff>106680</xdr:colOff>
      <xdr:row>61</xdr:row>
      <xdr:rowOff>195654</xdr:rowOff>
    </xdr:to>
    <xdr:graphicFrame macro="">
      <xdr:nvGraphicFramePr>
        <xdr:cNvPr id="64" name="Chart 15">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66675</xdr:colOff>
      <xdr:row>60</xdr:row>
      <xdr:rowOff>126366</xdr:rowOff>
    </xdr:from>
    <xdr:to>
      <xdr:col>2</xdr:col>
      <xdr:colOff>733425</xdr:colOff>
      <xdr:row>61</xdr:row>
      <xdr:rowOff>77471</xdr:rowOff>
    </xdr:to>
    <xdr:sp macro="" textlink="">
      <xdr:nvSpPr>
        <xdr:cNvPr id="65" name="Text Box 20">
          <a:extLst>
            <a:ext uri="{FF2B5EF4-FFF2-40B4-BE49-F238E27FC236}">
              <a16:creationId xmlns:a16="http://schemas.microsoft.com/office/drawing/2014/main" id="{00000000-0008-0000-0100-000041000000}"/>
            </a:ext>
          </a:extLst>
        </xdr:cNvPr>
        <xdr:cNvSpPr txBox="1">
          <a:spLocks noChangeArrowheads="1"/>
        </xdr:cNvSpPr>
      </xdr:nvSpPr>
      <xdr:spPr bwMode="auto">
        <a:xfrm>
          <a:off x="264795" y="10352406"/>
          <a:ext cx="666750" cy="149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空間・内装　　　　　　　　　</a:t>
          </a:r>
        </a:p>
      </xdr:txBody>
    </xdr:sp>
    <xdr:clientData/>
  </xdr:twoCellAnchor>
  <xdr:twoCellAnchor editAs="oneCell">
    <xdr:from>
      <xdr:col>9</xdr:col>
      <xdr:colOff>103657</xdr:colOff>
      <xdr:row>50</xdr:row>
      <xdr:rowOff>19141</xdr:rowOff>
    </xdr:from>
    <xdr:to>
      <xdr:col>9</xdr:col>
      <xdr:colOff>713892</xdr:colOff>
      <xdr:row>50</xdr:row>
      <xdr:rowOff>120741</xdr:rowOff>
    </xdr:to>
    <xdr:sp macro="" textlink="">
      <xdr:nvSpPr>
        <xdr:cNvPr id="66" name="Text Box 21">
          <a:extLst>
            <a:ext uri="{FF2B5EF4-FFF2-40B4-BE49-F238E27FC236}">
              <a16:creationId xmlns:a16="http://schemas.microsoft.com/office/drawing/2014/main" id="{00000000-0008-0000-0100-000042000000}"/>
            </a:ext>
          </a:extLst>
        </xdr:cNvPr>
        <xdr:cNvSpPr txBox="1">
          <a:spLocks noChangeArrowheads="1"/>
        </xdr:cNvSpPr>
      </xdr:nvSpPr>
      <xdr:spPr bwMode="auto">
        <a:xfrm>
          <a:off x="4492777" y="8309701"/>
          <a:ext cx="610235" cy="101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リフレッシュ </a:t>
          </a:r>
        </a:p>
      </xdr:txBody>
    </xdr:sp>
    <xdr:clientData/>
  </xdr:twoCellAnchor>
  <xdr:oneCellAnchor>
    <xdr:from>
      <xdr:col>2</xdr:col>
      <xdr:colOff>179070</xdr:colOff>
      <xdr:row>49</xdr:row>
      <xdr:rowOff>160020</xdr:rowOff>
    </xdr:from>
    <xdr:ext cx="419100" cy="13335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377190" y="826008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災害対応</a:t>
          </a:r>
        </a:p>
      </xdr:txBody>
    </xdr:sp>
    <xdr:clientData/>
  </xdr:oneCellAnchor>
  <xdr:twoCellAnchor editAs="oneCell">
    <xdr:from>
      <xdr:col>4</xdr:col>
      <xdr:colOff>7620</xdr:colOff>
      <xdr:row>60</xdr:row>
      <xdr:rowOff>5715</xdr:rowOff>
    </xdr:from>
    <xdr:to>
      <xdr:col>5</xdr:col>
      <xdr:colOff>258448</xdr:colOff>
      <xdr:row>62</xdr:row>
      <xdr:rowOff>1</xdr:rowOff>
    </xdr:to>
    <xdr:sp macro="" textlink="">
      <xdr:nvSpPr>
        <xdr:cNvPr id="68" name="Text Box 107">
          <a:extLst>
            <a:ext uri="{FF2B5EF4-FFF2-40B4-BE49-F238E27FC236}">
              <a16:creationId xmlns:a16="http://schemas.microsoft.com/office/drawing/2014/main" id="{00000000-0008-0000-0100-000044000000}"/>
            </a:ext>
          </a:extLst>
        </xdr:cNvPr>
        <xdr:cNvSpPr txBox="1">
          <a:spLocks noChangeArrowheads="1"/>
        </xdr:cNvSpPr>
      </xdr:nvSpPr>
      <xdr:spPr bwMode="auto">
        <a:xfrm>
          <a:off x="1485900" y="10231755"/>
          <a:ext cx="921388" cy="390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移動空間・</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コミュニケーション</a:t>
          </a:r>
        </a:p>
      </xdr:txBody>
    </xdr:sp>
    <xdr:clientData/>
  </xdr:twoCellAnchor>
  <xdr:twoCellAnchor editAs="oneCell">
    <xdr:from>
      <xdr:col>5</xdr:col>
      <xdr:colOff>315914</xdr:colOff>
      <xdr:row>60</xdr:row>
      <xdr:rowOff>67628</xdr:rowOff>
    </xdr:from>
    <xdr:to>
      <xdr:col>6</xdr:col>
      <xdr:colOff>300674</xdr:colOff>
      <xdr:row>61</xdr:row>
      <xdr:rowOff>136208</xdr:rowOff>
    </xdr:to>
    <xdr:sp macro="" textlink="">
      <xdr:nvSpPr>
        <xdr:cNvPr id="69" name="Text Box 108">
          <a:extLst>
            <a:ext uri="{FF2B5EF4-FFF2-40B4-BE49-F238E27FC236}">
              <a16:creationId xmlns:a16="http://schemas.microsoft.com/office/drawing/2014/main" id="{00000000-0008-0000-0100-000045000000}"/>
            </a:ext>
          </a:extLst>
        </xdr:cNvPr>
        <xdr:cNvSpPr txBox="1">
          <a:spLocks noChangeArrowheads="1"/>
        </xdr:cNvSpPr>
      </xdr:nvSpPr>
      <xdr:spPr bwMode="auto">
        <a:xfrm>
          <a:off x="2464754" y="10293668"/>
          <a:ext cx="41148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情報通信</a:t>
          </a:r>
        </a:p>
      </xdr:txBody>
    </xdr:sp>
    <xdr:clientData/>
  </xdr:twoCellAnchor>
  <xdr:twoCellAnchor editAs="oneCell">
    <xdr:from>
      <xdr:col>4</xdr:col>
      <xdr:colOff>135255</xdr:colOff>
      <xdr:row>49</xdr:row>
      <xdr:rowOff>100965</xdr:rowOff>
    </xdr:from>
    <xdr:to>
      <xdr:col>5</xdr:col>
      <xdr:colOff>85725</xdr:colOff>
      <xdr:row>50</xdr:row>
      <xdr:rowOff>177165</xdr:rowOff>
    </xdr:to>
    <xdr:sp macro="" textlink="">
      <xdr:nvSpPr>
        <xdr:cNvPr id="70" name="Text Box 109">
          <a:extLst>
            <a:ext uri="{FF2B5EF4-FFF2-40B4-BE49-F238E27FC236}">
              <a16:creationId xmlns:a16="http://schemas.microsoft.com/office/drawing/2014/main" id="{00000000-0008-0000-0100-000046000000}"/>
            </a:ext>
          </a:extLst>
        </xdr:cNvPr>
        <xdr:cNvSpPr txBox="1">
          <a:spLocks noChangeArrowheads="1"/>
        </xdr:cNvSpPr>
      </xdr:nvSpPr>
      <xdr:spPr bwMode="auto">
        <a:xfrm>
          <a:off x="1613535" y="8201025"/>
          <a:ext cx="62103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有害物質対策</a:t>
          </a:r>
        </a:p>
      </xdr:txBody>
    </xdr:sp>
    <xdr:clientData/>
  </xdr:twoCellAnchor>
  <xdr:twoCellAnchor editAs="oneCell">
    <xdr:from>
      <xdr:col>6</xdr:col>
      <xdr:colOff>287654</xdr:colOff>
      <xdr:row>49</xdr:row>
      <xdr:rowOff>116205</xdr:rowOff>
    </xdr:from>
    <xdr:to>
      <xdr:col>7</xdr:col>
      <xdr:colOff>573404</xdr:colOff>
      <xdr:row>51</xdr:row>
      <xdr:rowOff>1905</xdr:rowOff>
    </xdr:to>
    <xdr:sp macro="" textlink="">
      <xdr:nvSpPr>
        <xdr:cNvPr id="71" name="Text Box 110">
          <a:extLst>
            <a:ext uri="{FF2B5EF4-FFF2-40B4-BE49-F238E27FC236}">
              <a16:creationId xmlns:a16="http://schemas.microsoft.com/office/drawing/2014/main" id="{00000000-0008-0000-0100-000047000000}"/>
            </a:ext>
          </a:extLst>
        </xdr:cNvPr>
        <xdr:cNvSpPr txBox="1">
          <a:spLocks noChangeArrowheads="1"/>
        </xdr:cNvSpPr>
      </xdr:nvSpPr>
      <xdr:spPr bwMode="auto">
        <a:xfrm>
          <a:off x="2863214" y="8216265"/>
          <a:ext cx="72771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ユニバーサル</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デザイン　　　　　　　　</a:t>
          </a:r>
        </a:p>
      </xdr:txBody>
    </xdr:sp>
    <xdr:clientData/>
  </xdr:twoCellAnchor>
  <xdr:twoCellAnchor editAs="oneCell">
    <xdr:from>
      <xdr:col>10</xdr:col>
      <xdr:colOff>475436</xdr:colOff>
      <xdr:row>50</xdr:row>
      <xdr:rowOff>12791</xdr:rowOff>
    </xdr:from>
    <xdr:to>
      <xdr:col>11</xdr:col>
      <xdr:colOff>126821</xdr:colOff>
      <xdr:row>50</xdr:row>
      <xdr:rowOff>127091</xdr:rowOff>
    </xdr:to>
    <xdr:sp macro="" textlink="">
      <xdr:nvSpPr>
        <xdr:cNvPr id="75" name="Text Box 142">
          <a:extLst>
            <a:ext uri="{FF2B5EF4-FFF2-40B4-BE49-F238E27FC236}">
              <a16:creationId xmlns:a16="http://schemas.microsoft.com/office/drawing/2014/main" id="{00000000-0008-0000-0100-00004B000000}"/>
            </a:ext>
          </a:extLst>
        </xdr:cNvPr>
        <xdr:cNvSpPr txBox="1">
          <a:spLocks noChangeArrowheads="1"/>
        </xdr:cNvSpPr>
      </xdr:nvSpPr>
      <xdr:spPr bwMode="auto">
        <a:xfrm>
          <a:off x="5695136" y="8303351"/>
          <a:ext cx="466725"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a:t>
          </a:r>
        </a:p>
      </xdr:txBody>
    </xdr:sp>
    <xdr:clientData/>
  </xdr:twoCellAnchor>
  <xdr:oneCellAnchor>
    <xdr:from>
      <xdr:col>11</xdr:col>
      <xdr:colOff>214817</xdr:colOff>
      <xdr:row>50</xdr:row>
      <xdr:rowOff>3256</xdr:rowOff>
    </xdr:from>
    <xdr:ext cx="523798" cy="133370"/>
    <xdr:sp macro="" textlink="">
      <xdr:nvSpPr>
        <xdr:cNvPr id="76" name="Text Box 143">
          <a:extLst>
            <a:ext uri="{FF2B5EF4-FFF2-40B4-BE49-F238E27FC236}">
              <a16:creationId xmlns:a16="http://schemas.microsoft.com/office/drawing/2014/main" id="{00000000-0008-0000-0100-00004C000000}"/>
            </a:ext>
          </a:extLst>
        </xdr:cNvPr>
        <xdr:cNvSpPr txBox="1">
          <a:spLocks noChangeArrowheads="1"/>
        </xdr:cNvSpPr>
      </xdr:nvSpPr>
      <xdr:spPr bwMode="auto">
        <a:xfrm>
          <a:off x="6249857" y="8293816"/>
          <a:ext cx="523798"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12</xdr:col>
      <xdr:colOff>11272</xdr:colOff>
      <xdr:row>50</xdr:row>
      <xdr:rowOff>3266</xdr:rowOff>
    </xdr:from>
    <xdr:to>
      <xdr:col>12</xdr:col>
      <xdr:colOff>594202</xdr:colOff>
      <xdr:row>50</xdr:row>
      <xdr:rowOff>136616</xdr:rowOff>
    </xdr:to>
    <xdr:sp macro="" textlink="">
      <xdr:nvSpPr>
        <xdr:cNvPr id="77" name="Text Box 144">
          <a:extLst>
            <a:ext uri="{FF2B5EF4-FFF2-40B4-BE49-F238E27FC236}">
              <a16:creationId xmlns:a16="http://schemas.microsoft.com/office/drawing/2014/main" id="{00000000-0008-0000-0100-00004D000000}"/>
            </a:ext>
          </a:extLst>
        </xdr:cNvPr>
        <xdr:cNvSpPr txBox="1">
          <a:spLocks noChangeArrowheads="1"/>
        </xdr:cNvSpPr>
      </xdr:nvSpPr>
      <xdr:spPr bwMode="auto">
        <a:xfrm>
          <a:off x="6861652" y="8293826"/>
          <a:ext cx="58293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熱・空気環境　　　　　　</a:t>
          </a:r>
        </a:p>
      </xdr:txBody>
    </xdr:sp>
    <xdr:clientData/>
  </xdr:twoCellAnchor>
  <xdr:twoCellAnchor editAs="oneCell">
    <xdr:from>
      <xdr:col>10</xdr:col>
      <xdr:colOff>25069</xdr:colOff>
      <xdr:row>49</xdr:row>
      <xdr:rowOff>185829</xdr:rowOff>
    </xdr:from>
    <xdr:to>
      <xdr:col>10</xdr:col>
      <xdr:colOff>381000</xdr:colOff>
      <xdr:row>50</xdr:row>
      <xdr:rowOff>137160</xdr:rowOff>
    </xdr:to>
    <xdr:sp macro="" textlink="">
      <xdr:nvSpPr>
        <xdr:cNvPr id="78" name="Text Box 7">
          <a:extLst>
            <a:ext uri="{FF2B5EF4-FFF2-40B4-BE49-F238E27FC236}">
              <a16:creationId xmlns:a16="http://schemas.microsoft.com/office/drawing/2014/main" id="{00000000-0008-0000-0100-00004E000000}"/>
            </a:ext>
          </a:extLst>
        </xdr:cNvPr>
        <xdr:cNvSpPr txBox="1">
          <a:spLocks noChangeArrowheads="1"/>
        </xdr:cNvSpPr>
      </xdr:nvSpPr>
      <xdr:spPr bwMode="auto">
        <a:xfrm>
          <a:off x="5244769" y="8285889"/>
          <a:ext cx="355931" cy="14183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運動</a:t>
          </a:r>
        </a:p>
      </xdr:txBody>
    </xdr:sp>
    <xdr:clientData/>
  </xdr:twoCellAnchor>
  <xdr:twoCellAnchor editAs="oneCell">
    <xdr:from>
      <xdr:col>12</xdr:col>
      <xdr:colOff>614039</xdr:colOff>
      <xdr:row>49</xdr:row>
      <xdr:rowOff>119734</xdr:rowOff>
    </xdr:from>
    <xdr:to>
      <xdr:col>14</xdr:col>
      <xdr:colOff>16836</xdr:colOff>
      <xdr:row>51</xdr:row>
      <xdr:rowOff>20149</xdr:rowOff>
    </xdr:to>
    <xdr:sp macro="" textlink="">
      <xdr:nvSpPr>
        <xdr:cNvPr id="84" name="Text Box 23">
          <a:extLst>
            <a:ext uri="{FF2B5EF4-FFF2-40B4-BE49-F238E27FC236}">
              <a16:creationId xmlns:a16="http://schemas.microsoft.com/office/drawing/2014/main" id="{00000000-0008-0000-0100-000054000000}"/>
            </a:ext>
          </a:extLst>
        </xdr:cNvPr>
        <xdr:cNvSpPr txBox="1">
          <a:spLocks noChangeArrowheads="1"/>
        </xdr:cNvSpPr>
      </xdr:nvSpPr>
      <xdr:spPr bwMode="auto">
        <a:xfrm>
          <a:off x="7464419" y="8219794"/>
          <a:ext cx="804877" cy="28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維持管理計画</a:t>
          </a:r>
        </a:p>
      </xdr:txBody>
    </xdr:sp>
    <xdr:clientData/>
  </xdr:twoCellAnchor>
  <xdr:twoCellAnchor editAs="oneCell">
    <xdr:from>
      <xdr:col>14</xdr:col>
      <xdr:colOff>36671</xdr:colOff>
      <xdr:row>49</xdr:row>
      <xdr:rowOff>162875</xdr:rowOff>
    </xdr:from>
    <xdr:to>
      <xdr:col>14</xdr:col>
      <xdr:colOff>702561</xdr:colOff>
      <xdr:row>50</xdr:row>
      <xdr:rowOff>167507</xdr:rowOff>
    </xdr:to>
    <xdr:sp macro="" textlink="">
      <xdr:nvSpPr>
        <xdr:cNvPr id="85" name="Text Box 101">
          <a:extLst>
            <a:ext uri="{FF2B5EF4-FFF2-40B4-BE49-F238E27FC236}">
              <a16:creationId xmlns:a16="http://schemas.microsoft.com/office/drawing/2014/main" id="{00000000-0008-0000-0100-000055000000}"/>
            </a:ext>
          </a:extLst>
        </xdr:cNvPr>
        <xdr:cNvSpPr txBox="1">
          <a:spLocks noChangeArrowheads="1"/>
        </xdr:cNvSpPr>
      </xdr:nvSpPr>
      <xdr:spPr bwMode="auto">
        <a:xfrm>
          <a:off x="8289131" y="8262935"/>
          <a:ext cx="665890" cy="19513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満足度調査</a:t>
          </a:r>
        </a:p>
      </xdr:txBody>
    </xdr:sp>
    <xdr:clientData/>
  </xdr:twoCellAnchor>
  <xdr:twoCellAnchor editAs="oneCell">
    <xdr:from>
      <xdr:col>2</xdr:col>
      <xdr:colOff>790891</xdr:colOff>
      <xdr:row>60</xdr:row>
      <xdr:rowOff>100965</xdr:rowOff>
    </xdr:from>
    <xdr:to>
      <xdr:col>3</xdr:col>
      <xdr:colOff>320040</xdr:colOff>
      <xdr:row>61</xdr:row>
      <xdr:rowOff>102871</xdr:rowOff>
    </xdr:to>
    <xdr:sp macro="" textlink="">
      <xdr:nvSpPr>
        <xdr:cNvPr id="88" name="Text Box 148">
          <a:extLst>
            <a:ext uri="{FF2B5EF4-FFF2-40B4-BE49-F238E27FC236}">
              <a16:creationId xmlns:a16="http://schemas.microsoft.com/office/drawing/2014/main" id="{00000000-0008-0000-0100-000058000000}"/>
            </a:ext>
          </a:extLst>
        </xdr:cNvPr>
        <xdr:cNvSpPr txBox="1">
          <a:spLocks noChangeArrowheads="1"/>
        </xdr:cNvSpPr>
      </xdr:nvSpPr>
      <xdr:spPr bwMode="auto">
        <a:xfrm>
          <a:off x="989011" y="10327005"/>
          <a:ext cx="443549" cy="2000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作業環境</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5</xdr:col>
      <xdr:colOff>120015</xdr:colOff>
      <xdr:row>49</xdr:row>
      <xdr:rowOff>171768</xdr:rowOff>
    </xdr:from>
    <xdr:to>
      <xdr:col>6</xdr:col>
      <xdr:colOff>310515</xdr:colOff>
      <xdr:row>50</xdr:row>
      <xdr:rowOff>136843</xdr:rowOff>
    </xdr:to>
    <xdr:sp macro="" textlink="">
      <xdr:nvSpPr>
        <xdr:cNvPr id="89" name="Text Box 149">
          <a:extLst>
            <a:ext uri="{FF2B5EF4-FFF2-40B4-BE49-F238E27FC236}">
              <a16:creationId xmlns:a16="http://schemas.microsoft.com/office/drawing/2014/main" id="{00000000-0008-0000-0100-000059000000}"/>
            </a:ext>
          </a:extLst>
        </xdr:cNvPr>
        <xdr:cNvSpPr txBox="1">
          <a:spLocks noChangeArrowheads="1"/>
        </xdr:cNvSpPr>
      </xdr:nvSpPr>
      <xdr:spPr bwMode="auto">
        <a:xfrm>
          <a:off x="2268855" y="8271828"/>
          <a:ext cx="617220" cy="15557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水質安全性</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xdr:col>
      <xdr:colOff>47625</xdr:colOff>
      <xdr:row>1</xdr:row>
      <xdr:rowOff>91440</xdr:rowOff>
    </xdr:from>
    <xdr:to>
      <xdr:col>11</xdr:col>
      <xdr:colOff>567142</xdr:colOff>
      <xdr:row>4</xdr:row>
      <xdr:rowOff>15239</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965" y="167640"/>
          <a:ext cx="6501217" cy="632459"/>
        </a:xfrm>
        <a:prstGeom prst="rect">
          <a:avLst/>
        </a:prstGeom>
      </xdr:spPr>
    </xdr:pic>
    <xdr:clientData/>
  </xdr:twoCellAnchor>
  <xdr:twoCellAnchor editAs="oneCell">
    <xdr:from>
      <xdr:col>2</xdr:col>
      <xdr:colOff>761861</xdr:colOff>
      <xdr:row>49</xdr:row>
      <xdr:rowOff>111888</xdr:rowOff>
    </xdr:from>
    <xdr:to>
      <xdr:col>4</xdr:col>
      <xdr:colOff>83821</xdr:colOff>
      <xdr:row>51</xdr:row>
      <xdr:rowOff>7620</xdr:rowOff>
    </xdr:to>
    <xdr:sp macro="" textlink="">
      <xdr:nvSpPr>
        <xdr:cNvPr id="30" name="Text Box 145">
          <a:extLst>
            <a:ext uri="{FF2B5EF4-FFF2-40B4-BE49-F238E27FC236}">
              <a16:creationId xmlns:a16="http://schemas.microsoft.com/office/drawing/2014/main" id="{00000000-0008-0000-0100-00001E000000}"/>
            </a:ext>
          </a:extLst>
        </xdr:cNvPr>
        <xdr:cNvSpPr txBox="1">
          <a:spLocks noChangeArrowheads="1"/>
        </xdr:cNvSpPr>
      </xdr:nvSpPr>
      <xdr:spPr bwMode="auto">
        <a:xfrm>
          <a:off x="959981" y="8211948"/>
          <a:ext cx="602120" cy="27673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防犯、</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非常時対応</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7</xdr:col>
      <xdr:colOff>849331</xdr:colOff>
      <xdr:row>49</xdr:row>
      <xdr:rowOff>156365</xdr:rowOff>
    </xdr:from>
    <xdr:to>
      <xdr:col>9</xdr:col>
      <xdr:colOff>83820</xdr:colOff>
      <xdr:row>50</xdr:row>
      <xdr:rowOff>174017</xdr:rowOff>
    </xdr:to>
    <xdr:sp macro="" textlink="">
      <xdr:nvSpPr>
        <xdr:cNvPr id="31" name="Text Box 145">
          <a:extLst>
            <a:ext uri="{FF2B5EF4-FFF2-40B4-BE49-F238E27FC236}">
              <a16:creationId xmlns:a16="http://schemas.microsoft.com/office/drawing/2014/main" id="{00000000-0008-0000-0100-00001F000000}"/>
            </a:ext>
          </a:extLst>
        </xdr:cNvPr>
        <xdr:cNvSpPr txBox="1">
          <a:spLocks noChangeArrowheads="1"/>
        </xdr:cNvSpPr>
      </xdr:nvSpPr>
      <xdr:spPr bwMode="auto">
        <a:xfrm>
          <a:off x="3866851" y="8256425"/>
          <a:ext cx="606089" cy="20815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デザイン性</a:t>
          </a:r>
          <a:endParaRPr lang="ja-JP" altLang="en-US" sz="900" b="0" i="0" strike="noStrike">
            <a:solidFill>
              <a:srgbClr val="000000"/>
            </a:solidFill>
            <a:latin typeface="ＭＳ Ｐゴシック"/>
            <a:ea typeface="ＭＳ Ｐゴシック"/>
          </a:endParaRPr>
        </a:p>
      </xdr:txBody>
    </xdr:sp>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32" name="Chart 15">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33" name="Text Box 145">
          <a:extLst>
            <a:ext uri="{FF2B5EF4-FFF2-40B4-BE49-F238E27FC236}">
              <a16:creationId xmlns:a16="http://schemas.microsoft.com/office/drawing/2014/main" id="{00000000-0008-0000-0100-000021000000}"/>
            </a:ext>
          </a:extLst>
        </xdr:cNvPr>
        <xdr:cNvSpPr txBox="1">
          <a:spLocks noChangeArrowheads="1"/>
        </xdr:cNvSpPr>
      </xdr:nvSpPr>
      <xdr:spPr bwMode="auto">
        <a:xfrm>
          <a:off x="6842498" y="10391268"/>
          <a:ext cx="932783"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5" name="Text Box 145">
          <a:extLst>
            <a:ext uri="{FF2B5EF4-FFF2-40B4-BE49-F238E27FC236}">
              <a16:creationId xmlns:a16="http://schemas.microsoft.com/office/drawing/2014/main" id="{00000000-0008-0000-0100-000023000000}"/>
            </a:ext>
          </a:extLst>
        </xdr:cNvPr>
        <xdr:cNvSpPr txBox="1">
          <a:spLocks noChangeArrowheads="1"/>
        </xdr:cNvSpPr>
      </xdr:nvSpPr>
      <xdr:spPr bwMode="auto">
        <a:xfrm>
          <a:off x="7514851" y="10391268"/>
          <a:ext cx="1012718"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6" name="Text Box 145">
          <a:extLst>
            <a:ext uri="{FF2B5EF4-FFF2-40B4-BE49-F238E27FC236}">
              <a16:creationId xmlns:a16="http://schemas.microsoft.com/office/drawing/2014/main" id="{00000000-0008-0000-0100-000024000000}"/>
            </a:ext>
          </a:extLst>
        </xdr:cNvPr>
        <xdr:cNvSpPr txBox="1">
          <a:spLocks noChangeArrowheads="1"/>
        </xdr:cNvSpPr>
      </xdr:nvSpPr>
      <xdr:spPr bwMode="auto">
        <a:xfrm>
          <a:off x="8284695" y="10391268"/>
          <a:ext cx="982835"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7" name="Text Box 145">
          <a:extLst>
            <a:ext uri="{FF2B5EF4-FFF2-40B4-BE49-F238E27FC236}">
              <a16:creationId xmlns:a16="http://schemas.microsoft.com/office/drawing/2014/main" id="{00000000-0008-0000-0100-000025000000}"/>
            </a:ext>
          </a:extLst>
        </xdr:cNvPr>
        <xdr:cNvSpPr txBox="1">
          <a:spLocks noChangeArrowheads="1"/>
        </xdr:cNvSpPr>
      </xdr:nvSpPr>
      <xdr:spPr bwMode="auto">
        <a:xfrm>
          <a:off x="9006914" y="10391268"/>
          <a:ext cx="909250"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388619</xdr:colOff>
      <xdr:row>58</xdr:row>
      <xdr:rowOff>152094</xdr:rowOff>
    </xdr:from>
    <xdr:ext cx="466726" cy="267381"/>
    <xdr:sp macro="" textlink="$AD$50">
      <xdr:nvSpPr>
        <xdr:cNvPr id="2" name="テキスト ボックス 1">
          <a:extLst>
            <a:ext uri="{FF2B5EF4-FFF2-40B4-BE49-F238E27FC236}">
              <a16:creationId xmlns:a16="http://schemas.microsoft.com/office/drawing/2014/main" id="{00000000-0008-0000-0100-000002000000}"/>
            </a:ext>
          </a:extLst>
        </xdr:cNvPr>
        <xdr:cNvSpPr txBox="1"/>
      </xdr:nvSpPr>
      <xdr:spPr>
        <a:xfrm>
          <a:off x="642365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1B88DCA6-4A97-4D55-865D-FC3AC8235F01}"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185419</xdr:colOff>
      <xdr:row>58</xdr:row>
      <xdr:rowOff>152094</xdr:rowOff>
    </xdr:from>
    <xdr:ext cx="466726" cy="267381"/>
    <xdr:sp macro="" textlink="$AD$51">
      <xdr:nvSpPr>
        <xdr:cNvPr id="3" name="テキスト ボックス 2">
          <a:extLst>
            <a:ext uri="{FF2B5EF4-FFF2-40B4-BE49-F238E27FC236}">
              <a16:creationId xmlns:a16="http://schemas.microsoft.com/office/drawing/2014/main" id="{00000000-0008-0000-0100-000003000000}"/>
            </a:ext>
          </a:extLst>
        </xdr:cNvPr>
        <xdr:cNvSpPr txBox="1"/>
      </xdr:nvSpPr>
      <xdr:spPr>
        <a:xfrm>
          <a:off x="703579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731D396-01DB-4256-9D77-B0AF145E986D}"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799464</xdr:colOff>
      <xdr:row>58</xdr:row>
      <xdr:rowOff>152094</xdr:rowOff>
    </xdr:from>
    <xdr:ext cx="466726" cy="267381"/>
    <xdr:sp macro="" textlink="$AD$52">
      <xdr:nvSpPr>
        <xdr:cNvPr id="4" name="テキスト ボックス 3">
          <a:extLst>
            <a:ext uri="{FF2B5EF4-FFF2-40B4-BE49-F238E27FC236}">
              <a16:creationId xmlns:a16="http://schemas.microsoft.com/office/drawing/2014/main" id="{00000000-0008-0000-0100-000004000000}"/>
            </a:ext>
          </a:extLst>
        </xdr:cNvPr>
        <xdr:cNvSpPr txBox="1"/>
      </xdr:nvSpPr>
      <xdr:spPr>
        <a:xfrm>
          <a:off x="764984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C3AA71A2-C156-47EE-83F1-5339354CF809}"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14</xdr:col>
      <xdr:colOff>36194</xdr:colOff>
      <xdr:row>58</xdr:row>
      <xdr:rowOff>152094</xdr:rowOff>
    </xdr:from>
    <xdr:ext cx="466726" cy="267381"/>
    <xdr:sp macro="" textlink="$AD$53">
      <xdr:nvSpPr>
        <xdr:cNvPr id="5" name="テキスト ボックス 4">
          <a:extLst>
            <a:ext uri="{FF2B5EF4-FFF2-40B4-BE49-F238E27FC236}">
              <a16:creationId xmlns:a16="http://schemas.microsoft.com/office/drawing/2014/main" id="{00000000-0008-0000-0100-000005000000}"/>
            </a:ext>
          </a:extLst>
        </xdr:cNvPr>
        <xdr:cNvSpPr txBox="1"/>
      </xdr:nvSpPr>
      <xdr:spPr>
        <a:xfrm>
          <a:off x="828865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255B14E4-05C0-49FA-9C99-3D6493708E40}"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twoCellAnchor editAs="oneCell">
    <xdr:from>
      <xdr:col>6</xdr:col>
      <xdr:colOff>358140</xdr:colOff>
      <xdr:row>60</xdr:row>
      <xdr:rowOff>67628</xdr:rowOff>
    </xdr:from>
    <xdr:to>
      <xdr:col>7</xdr:col>
      <xdr:colOff>426720</xdr:colOff>
      <xdr:row>61</xdr:row>
      <xdr:rowOff>136208</xdr:rowOff>
    </xdr:to>
    <xdr:sp macro="" textlink="">
      <xdr:nvSpPr>
        <xdr:cNvPr id="7" name="Text Box 110">
          <a:extLst>
            <a:ext uri="{FF2B5EF4-FFF2-40B4-BE49-F238E27FC236}">
              <a16:creationId xmlns:a16="http://schemas.microsoft.com/office/drawing/2014/main" id="{58F9A596-BE32-4C65-89B0-BA5ED86F2960}"/>
            </a:ext>
          </a:extLst>
        </xdr:cNvPr>
        <xdr:cNvSpPr txBox="1">
          <a:spLocks noChangeArrowheads="1"/>
        </xdr:cNvSpPr>
      </xdr:nvSpPr>
      <xdr:spPr bwMode="auto">
        <a:xfrm>
          <a:off x="2933700" y="10293668"/>
          <a:ext cx="51054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プログラム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0.0593</cdr:x>
      <cdr:y>0.44568</cdr:y>
    </cdr:from>
    <cdr:to>
      <cdr:x>0.96265</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15051" y="710346"/>
          <a:ext cx="3276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0.07238</cdr:x>
      <cdr:y>0.63855</cdr:y>
    </cdr:from>
    <cdr:to>
      <cdr:x>0.23423</cdr:x>
      <cdr:y>0.78916</cdr:y>
    </cdr:to>
    <cdr:sp macro="" textlink="結果!$Z$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0.09438</cdr:x>
      <cdr:y>0.64781</cdr:y>
    </cdr:from>
    <cdr:to>
      <cdr:x>0.19365</cdr:x>
      <cdr:y>0.80592</cdr:y>
    </cdr:to>
    <cdr:sp macro="" textlink="結果!$T$49">
      <cdr:nvSpPr>
        <cdr:cNvPr id="3" name="テキスト ボックス 2">
          <a:extLst xmlns:a="http://schemas.openxmlformats.org/drawingml/2006/main">
            <a:ext uri="{FF2B5EF4-FFF2-40B4-BE49-F238E27FC236}">
              <a16:creationId xmlns:a16="http://schemas.microsoft.com/office/drawing/2014/main" id="{92AA284C-CA93-FAF6-6B52-39B9DA50C9AB}"/>
            </a:ext>
          </a:extLst>
        </cdr:cNvPr>
        <cdr:cNvSpPr txBox="1"/>
      </cdr:nvSpPr>
      <cdr:spPr>
        <a:xfrm xmlns:a="http://schemas.openxmlformats.org/drawingml/2006/main">
          <a:off x="34226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7519E9A-D036-46B4-87D9-29043BA7B71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0.27508</cdr:x>
      <cdr:y>0.64781</cdr:y>
    </cdr:from>
    <cdr:to>
      <cdr:x>0.37435</cdr:x>
      <cdr:y>0.80592</cdr:y>
    </cdr:to>
    <cdr:sp macro="" textlink="結果!$T$50">
      <cdr:nvSpPr>
        <cdr:cNvPr id="9" name="テキスト ボックス 8">
          <a:extLst xmlns:a="http://schemas.openxmlformats.org/drawingml/2006/main">
            <a:ext uri="{FF2B5EF4-FFF2-40B4-BE49-F238E27FC236}">
              <a16:creationId xmlns:a16="http://schemas.microsoft.com/office/drawing/2014/main" id="{057113F2-AC75-F8EA-7611-A9E4FC750CAB}"/>
            </a:ext>
          </a:extLst>
        </cdr:cNvPr>
        <cdr:cNvSpPr txBox="1"/>
      </cdr:nvSpPr>
      <cdr:spPr>
        <a:xfrm xmlns:a="http://schemas.openxmlformats.org/drawingml/2006/main">
          <a:off x="99758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858AFFA-D700-422C-8FA7-67CDE8830A2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0.45579</cdr:x>
      <cdr:y>0.64781</cdr:y>
    </cdr:from>
    <cdr:to>
      <cdr:x>0.55506</cdr:x>
      <cdr:y>0.80592</cdr:y>
    </cdr:to>
    <cdr:sp macro="" textlink="結果!$T$51">
      <cdr:nvSpPr>
        <cdr:cNvPr id="10" name="テキスト ボックス 9">
          <a:extLst xmlns:a="http://schemas.openxmlformats.org/drawingml/2006/main">
            <a:ext uri="{FF2B5EF4-FFF2-40B4-BE49-F238E27FC236}">
              <a16:creationId xmlns:a16="http://schemas.microsoft.com/office/drawing/2014/main" id="{04D72398-64AE-ECCE-9306-67A1FF6D85B7}"/>
            </a:ext>
          </a:extLst>
        </cdr:cNvPr>
        <cdr:cNvSpPr txBox="1"/>
      </cdr:nvSpPr>
      <cdr:spPr>
        <a:xfrm xmlns:a="http://schemas.openxmlformats.org/drawingml/2006/main">
          <a:off x="165290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B7C7FA3-8C65-4505-971F-12AA52073D36}"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0.63649</cdr:x>
      <cdr:y>0.64781</cdr:y>
    </cdr:from>
    <cdr:to>
      <cdr:x>0.73576</cdr:x>
      <cdr:y>0.80592</cdr:y>
    </cdr:to>
    <cdr:sp macro="" textlink="結果!$T$52">
      <cdr:nvSpPr>
        <cdr:cNvPr id="11" name="テキスト ボックス 10">
          <a:extLst xmlns:a="http://schemas.openxmlformats.org/drawingml/2006/main">
            <a:ext uri="{FF2B5EF4-FFF2-40B4-BE49-F238E27FC236}">
              <a16:creationId xmlns:a16="http://schemas.microsoft.com/office/drawing/2014/main" id="{784CEBF3-D353-449C-F9F1-82C961A0ABB1}"/>
            </a:ext>
          </a:extLst>
        </cdr:cNvPr>
        <cdr:cNvSpPr txBox="1"/>
      </cdr:nvSpPr>
      <cdr:spPr>
        <a:xfrm xmlns:a="http://schemas.openxmlformats.org/drawingml/2006/main">
          <a:off x="230822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060F9AA-B110-424E-BB5A-ED904E2ECBA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0.81719</cdr:x>
      <cdr:y>0.64781</cdr:y>
    </cdr:from>
    <cdr:to>
      <cdr:x>0.91646</cdr:x>
      <cdr:y>0.80592</cdr:y>
    </cdr:to>
    <cdr:sp macro="" textlink="結果!$T$53">
      <cdr:nvSpPr>
        <cdr:cNvPr id="12" name="テキスト ボックス 11">
          <a:extLst xmlns:a="http://schemas.openxmlformats.org/drawingml/2006/main">
            <a:ext uri="{FF2B5EF4-FFF2-40B4-BE49-F238E27FC236}">
              <a16:creationId xmlns:a16="http://schemas.microsoft.com/office/drawing/2014/main" id="{8CA73476-2F4C-B2E1-9DBB-261BA1718A79}"/>
            </a:ext>
          </a:extLst>
        </cdr:cNvPr>
        <cdr:cNvSpPr txBox="1"/>
      </cdr:nvSpPr>
      <cdr:spPr>
        <a:xfrm xmlns:a="http://schemas.openxmlformats.org/drawingml/2006/main">
          <a:off x="296354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F4FDC2B-A8E0-42ED-9E06-5A8BE4C7B198}"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4.xml><?xml version="1.0" encoding="utf-8"?>
<c:userShapes xmlns:c="http://schemas.openxmlformats.org/drawingml/2006/chart">
  <cdr:relSizeAnchor xmlns:cdr="http://schemas.openxmlformats.org/drawingml/2006/chartDrawing">
    <cdr:from>
      <cdr:x>0.04243</cdr:x>
      <cdr:y>0.44746</cdr:y>
    </cdr:from>
    <cdr:to>
      <cdr:x>0.97796</cdr:x>
      <cdr:y>0.44746</cdr:y>
    </cdr:to>
    <cdr:sp macro="" textlink="">
      <cdr:nvSpPr>
        <cdr:cNvPr id="10244" name="Line 4"/>
        <cdr:cNvSpPr>
          <a:spLocks xmlns:a="http://schemas.openxmlformats.org/drawingml/2006/main" noChangeShapeType="1"/>
        </cdr:cNvSpPr>
      </cdr:nvSpPr>
      <cdr:spPr bwMode="auto">
        <a:xfrm xmlns:a="http://schemas.openxmlformats.org/drawingml/2006/main" flipV="1">
          <a:off x="228599" y="707500"/>
          <a:ext cx="50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Z$51">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0.58452</cdr:x>
      <cdr:y>0.6747</cdr:y>
    </cdr:from>
    <cdr:to>
      <cdr:x>0.90769</cdr:x>
      <cdr:y>0.82932</cdr:y>
    </cdr:to>
    <cdr:sp macro="" textlink="結果!$Z$52">
      <cdr:nvSpPr>
        <cdr:cNvPr id="4" name="テキスト ボックス 1"/>
        <cdr:cNvSpPr txBox="1"/>
      </cdr:nvSpPr>
      <cdr:spPr>
        <a:xfrm xmlns:a="http://schemas.openxmlformats.org/drawingml/2006/main">
          <a:off x="965049" y="1066795"/>
          <a:ext cx="533551" cy="24447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0.06365</cdr:x>
      <cdr:y>0.66747</cdr:y>
    </cdr:from>
    <cdr:to>
      <cdr:x>0.13047</cdr:x>
      <cdr:y>0.82685</cdr:y>
    </cdr:to>
    <cdr:sp macro="" textlink="結果!$W$49">
      <cdr:nvSpPr>
        <cdr:cNvPr id="6" name="テキスト ボックス 5">
          <a:extLst xmlns:a="http://schemas.openxmlformats.org/drawingml/2006/main">
            <a:ext uri="{FF2B5EF4-FFF2-40B4-BE49-F238E27FC236}">
              <a16:creationId xmlns:a16="http://schemas.microsoft.com/office/drawing/2014/main" id="{50F3447A-B041-1990-BC77-E40E48B556FE}"/>
            </a:ext>
          </a:extLst>
        </cdr:cNvPr>
        <cdr:cNvSpPr txBox="1"/>
      </cdr:nvSpPr>
      <cdr:spPr>
        <a:xfrm xmlns:a="http://schemas.openxmlformats.org/drawingml/2006/main">
          <a:off x="342900" y="1055371"/>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20A7299-DAB2-4006-8589-D5FD8C1E0297}"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0.17876</cdr:x>
      <cdr:y>0.66747</cdr:y>
    </cdr:from>
    <cdr:to>
      <cdr:x>0.24558</cdr:x>
      <cdr:y>0.82685</cdr:y>
    </cdr:to>
    <cdr:sp macro="" textlink="結果!$W$50">
      <cdr:nvSpPr>
        <cdr:cNvPr id="7"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963023"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9C1826-5693-41EC-A2EC-7F7F4581C6AB}"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0.29386</cdr:x>
      <cdr:y>0.66747</cdr:y>
    </cdr:from>
    <cdr:to>
      <cdr:x>0.36069</cdr:x>
      <cdr:y>0.82685</cdr:y>
    </cdr:to>
    <cdr:sp macro="" textlink="結果!$W$51">
      <cdr:nvSpPr>
        <cdr:cNvPr id="8"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1583146"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472BA99-0051-4392-B29C-34E658704B44}"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0.40897</cdr:x>
      <cdr:y>0.66747</cdr:y>
    </cdr:from>
    <cdr:to>
      <cdr:x>0.47579</cdr:x>
      <cdr:y>0.82685</cdr:y>
    </cdr:to>
    <cdr:sp macro="" textlink="結果!$W$52">
      <cdr:nvSpPr>
        <cdr:cNvPr id="9"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203269"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01C6CA-0F03-411A-B72B-45A31B8A279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0.52408</cdr:x>
      <cdr:y>0.66747</cdr:y>
    </cdr:from>
    <cdr:to>
      <cdr:x>0.5909</cdr:x>
      <cdr:y>0.82685</cdr:y>
    </cdr:to>
    <cdr:sp macro="" textlink="結果!$W$53">
      <cdr:nvSpPr>
        <cdr:cNvPr id="10"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823392"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A2A8BF-B826-43E1-87C2-E43D17C8D76F}"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0.63919</cdr:x>
      <cdr:y>0.66747</cdr:y>
    </cdr:from>
    <cdr:to>
      <cdr:x>0.70601</cdr:x>
      <cdr:y>0.82685</cdr:y>
    </cdr:to>
    <cdr:sp macro="" textlink="結果!$W$54">
      <cdr:nvSpPr>
        <cdr:cNvPr id="11"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3443515"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7EA7C8-F42D-4908-87F2-8ABDF1086B8C}"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0.75429</cdr:x>
      <cdr:y>0.66747</cdr:y>
    </cdr:from>
    <cdr:to>
      <cdr:x>0.82112</cdr:x>
      <cdr:y>0.82685</cdr:y>
    </cdr:to>
    <cdr:sp macro="" textlink="結果!$W$55">
      <cdr:nvSpPr>
        <cdr:cNvPr id="12"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063638"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EBF3EA1-8C86-4EE3-9AD8-E70DC0D32459}"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0.8694</cdr:x>
      <cdr:y>0.66747</cdr:y>
    </cdr:from>
    <cdr:to>
      <cdr:x>0.93622</cdr:x>
      <cdr:y>0.82685</cdr:y>
    </cdr:to>
    <cdr:sp macro="" textlink="結果!$W$56">
      <cdr:nvSpPr>
        <cdr:cNvPr id="13"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683760"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1899272-42B1-47A2-8192-5970B16477E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5.xml><?xml version="1.0" encoding="utf-8"?>
<c:userShapes xmlns:c="http://schemas.openxmlformats.org/drawingml/2006/chart">
  <cdr:relSizeAnchor xmlns:cdr="http://schemas.openxmlformats.org/drawingml/2006/chartDrawing">
    <cdr:from>
      <cdr:x>0.06678</cdr:x>
      <cdr:y>0.44759</cdr:y>
    </cdr:from>
    <cdr:to>
      <cdr:x>0.97049</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39420" y="716234"/>
          <a:ext cx="32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0.66489</cdr:y>
    </cdr:from>
    <cdr:to>
      <cdr:x>0.18924</cdr:x>
      <cdr:y>0.82237</cdr:y>
    </cdr:to>
    <cdr:sp macro="" textlink="結果!$Z$49">
      <cdr:nvSpPr>
        <cdr:cNvPr id="2" name="テキスト ボックス 1"/>
        <cdr:cNvSpPr txBox="1"/>
      </cdr:nvSpPr>
      <cdr:spPr>
        <a:xfrm xmlns:a="http://schemas.openxmlformats.org/drawingml/2006/main">
          <a:off x="282479" y="1063951"/>
          <a:ext cx="396000" cy="2520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E41FD7D-55A2-4A48-AF49-6C5390489A5D}"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0.26871</cdr:x>
      <cdr:y>0.66489</cdr:y>
    </cdr:from>
    <cdr:to>
      <cdr:x>0.37916</cdr:x>
      <cdr:y>0.82237</cdr:y>
    </cdr:to>
    <cdr:sp macro="" textlink="結果!$Z$50">
      <cdr:nvSpPr>
        <cdr:cNvPr id="4" name="テキスト ボックス 1"/>
        <cdr:cNvSpPr txBox="1"/>
      </cdr:nvSpPr>
      <cdr:spPr>
        <a:xfrm xmlns:a="http://schemas.openxmlformats.org/drawingml/2006/main">
          <a:off x="963382"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8F2634F-C61E-4BFE-A8C1-FF7545491407}"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0.45863</cdr:x>
      <cdr:y>0.66489</cdr:y>
    </cdr:from>
    <cdr:to>
      <cdr:x>0.56908</cdr:x>
      <cdr:y>0.82237</cdr:y>
    </cdr:to>
    <cdr:sp macro="" textlink="結果!$Z$51">
      <cdr:nvSpPr>
        <cdr:cNvPr id="5" name="テキスト ボックス 1"/>
        <cdr:cNvSpPr txBox="1"/>
      </cdr:nvSpPr>
      <cdr:spPr>
        <a:xfrm xmlns:a="http://schemas.openxmlformats.org/drawingml/2006/main">
          <a:off x="1644285"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ctr"/>
          <a:fld id="{F02F1EDE-8BE4-471F-8C09-E687A358A58A}" type="TxLink">
            <a:rPr lang="en-US" altLang="en-US" sz="1000" b="1" i="0" u="none" strike="noStrike">
              <a:solidFill>
                <a:srgbClr val="000000"/>
              </a:solidFill>
              <a:latin typeface="ＭＳ Ｐゴシック"/>
              <a:ea typeface="ＭＳ Ｐゴシック"/>
            </a:rPr>
            <a:pPr algn="ctr"/>
            <a:t> </a:t>
          </a:fld>
          <a:endParaRPr lang="en-US" altLang="en-US" sz="800" b="1"/>
        </a:p>
      </cdr:txBody>
    </cdr:sp>
  </cdr:relSizeAnchor>
  <cdr:relSizeAnchor xmlns:cdr="http://schemas.openxmlformats.org/drawingml/2006/chartDrawing">
    <cdr:from>
      <cdr:x>0.64855</cdr:x>
      <cdr:y>0.66489</cdr:y>
    </cdr:from>
    <cdr:to>
      <cdr:x>0.759</cdr:x>
      <cdr:y>0.82237</cdr:y>
    </cdr:to>
    <cdr:sp macro="" textlink="結果!$Z$52">
      <cdr:nvSpPr>
        <cdr:cNvPr id="10" name="テキスト ボックス 1"/>
        <cdr:cNvSpPr txBox="1"/>
      </cdr:nvSpPr>
      <cdr:spPr>
        <a:xfrm xmlns:a="http://schemas.openxmlformats.org/drawingml/2006/main">
          <a:off x="2325188" y="1063951"/>
          <a:ext cx="396000" cy="2520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4081584-D48D-480A-B6D4-0FADE954CFF8}"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0.83847</cdr:x>
      <cdr:y>0.66489</cdr:y>
    </cdr:from>
    <cdr:to>
      <cdr:x>0.94892</cdr:x>
      <cdr:y>0.82237</cdr:y>
    </cdr:to>
    <cdr:sp macro="" textlink="結果!$Z$53">
      <cdr:nvSpPr>
        <cdr:cNvPr id="3" name="テキスト ボックス 2">
          <a:extLst xmlns:a="http://schemas.openxmlformats.org/drawingml/2006/main">
            <a:ext uri="{FF2B5EF4-FFF2-40B4-BE49-F238E27FC236}">
              <a16:creationId xmlns:a16="http://schemas.microsoft.com/office/drawing/2014/main" id="{7DC50E80-91F3-A4E6-2C25-E1223BAE4BB7}"/>
            </a:ext>
          </a:extLst>
        </cdr:cNvPr>
        <cdr:cNvSpPr txBox="1"/>
      </cdr:nvSpPr>
      <cdr:spPr>
        <a:xfrm xmlns:a="http://schemas.openxmlformats.org/drawingml/2006/main">
          <a:off x="3006090" y="1063951"/>
          <a:ext cx="396000" cy="252000"/>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fld id="{472AEDAD-6FBD-4235-B299-3C9A0E7D5018}" type="TxLink">
            <a:rPr lang="en-US" altLang="en-US" sz="1000" b="1" i="0" u="none" strike="noStrike">
              <a:solidFill>
                <a:srgbClr val="000000"/>
              </a:solidFill>
              <a:latin typeface="ＭＳ Ｐゴシック"/>
              <a:ea typeface="ＭＳ Ｐゴシック"/>
            </a:rPr>
            <a:pPr algn="ctr"/>
            <a:t> </a:t>
          </a:fld>
          <a:endParaRPr lang="ja-JP" altLang="en-US" sz="1000" b="1"/>
        </a:p>
      </cdr:txBody>
    </cdr:sp>
  </cdr:relSizeAnchor>
</c:userShapes>
</file>

<file path=xl/drawings/drawing6.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AK$51">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AK$52">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AK$53">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0.0204</cdr:x>
      <cdr:y>0.8374</cdr:y>
    </cdr:from>
    <cdr:to>
      <cdr:x>0.41871</cdr:x>
      <cdr:y>0.98894</cdr:y>
    </cdr:to>
    <cdr:sp macro="" textlink="">
      <cdr:nvSpPr>
        <cdr:cNvPr id="3" name="Text Box 145">
          <a:extLst xmlns:a="http://schemas.openxmlformats.org/drawingml/2006/main">
            <a:ext uri="{FF2B5EF4-FFF2-40B4-BE49-F238E27FC236}">
              <a16:creationId xmlns:a16="http://schemas.microsoft.com/office/drawing/2014/main" id="{00000000-0008-0000-0100-000021000000}"/>
            </a:ext>
          </a:extLst>
        </cdr:cNvPr>
        <cdr:cNvSpPr txBox="1">
          <a:spLocks xmlns:a="http://schemas.openxmlformats.org/drawingml/2006/main" noChangeArrowheads="1"/>
        </cdr:cNvSpPr>
      </cdr:nvSpPr>
      <cdr:spPr bwMode="auto">
        <a:xfrm xmlns:a="http://schemas.openxmlformats.org/drawingml/2006/main">
          <a:off x="4318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建築・設備</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0.30295</cdr:x>
      <cdr:y>0.8374</cdr:y>
    </cdr:from>
    <cdr:to>
      <cdr:x>0.70126</cdr:x>
      <cdr:y>0.98894</cdr:y>
    </cdr:to>
    <cdr:sp macro="" textlink="">
      <cdr:nvSpPr>
        <cdr:cNvPr id="6" name="Text Box 145">
          <a:extLst xmlns:a="http://schemas.openxmlformats.org/drawingml/2006/main">
            <a:ext uri="{FF2B5EF4-FFF2-40B4-BE49-F238E27FC236}">
              <a16:creationId xmlns:a16="http://schemas.microsoft.com/office/drawing/2014/main" id="{A750D97B-2FD0-FCB3-BE1D-130955CA253F}"/>
            </a:ext>
          </a:extLst>
        </cdr:cNvPr>
        <cdr:cNvSpPr txBox="1">
          <a:spLocks xmlns:a="http://schemas.openxmlformats.org/drawingml/2006/main" noChangeArrowheads="1"/>
        </cdr:cNvSpPr>
      </cdr:nvSpPr>
      <cdr:spPr bwMode="auto">
        <a:xfrm xmlns:a="http://schemas.openxmlformats.org/drawingml/2006/main">
          <a:off x="64135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運営管理</a:t>
          </a:r>
          <a:endParaRPr lang="ja-JP" altLang="en-US" sz="900" b="0" i="0" strike="noStrike">
            <a:solidFill>
              <a:srgbClr val="000000"/>
            </a:solidFill>
            <a:latin typeface="ＭＳ Ｐゴシック"/>
            <a:ea typeface="ＭＳ Ｐゴシック"/>
          </a:endParaRPr>
        </a:p>
      </cdr:txBody>
    </cdr:sp>
  </cdr:relSizeAnchor>
  <cdr:relSizeAnchor xmlns:cdr="http://schemas.openxmlformats.org/drawingml/2006/chartDrawing">
    <cdr:from>
      <cdr:x>0.5855</cdr:x>
      <cdr:y>0.8374</cdr:y>
    </cdr:from>
    <cdr:to>
      <cdr:x>0.98381</cdr:x>
      <cdr:y>0.98894</cdr:y>
    </cdr:to>
    <cdr:sp macro="" textlink="">
      <cdr:nvSpPr>
        <cdr:cNvPr id="7" name="Text Box 145">
          <a:extLst xmlns:a="http://schemas.openxmlformats.org/drawingml/2006/main">
            <a:ext uri="{FF2B5EF4-FFF2-40B4-BE49-F238E27FC236}">
              <a16:creationId xmlns:a16="http://schemas.microsoft.com/office/drawing/2014/main" id="{A750D97B-2FD0-FCB3-BE1D-130955CA253F}"/>
            </a:ext>
          </a:extLst>
        </cdr:cNvPr>
        <cdr:cNvSpPr txBox="1">
          <a:spLocks xmlns:a="http://schemas.openxmlformats.org/drawingml/2006/main" noChangeArrowheads="1"/>
        </cdr:cNvSpPr>
      </cdr:nvSpPr>
      <cdr:spPr bwMode="auto">
        <a:xfrm xmlns:a="http://schemas.openxmlformats.org/drawingml/2006/main">
          <a:off x="1239520" y="1308100"/>
          <a:ext cx="843248" cy="236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Ｐゴシック"/>
              <a:ea typeface="ＭＳ Ｐゴシック"/>
            </a:rPr>
            <a:t>プログラム</a:t>
          </a:r>
        </a:p>
      </cdr:txBody>
    </cdr:sp>
  </cdr:relSizeAnchor>
</c:userShapes>
</file>

<file path=xl/drawings/drawing7.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A47B4E6A-BEB5-47CF-8987-4285B1CA2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6673215" y="114300"/>
          <a:ext cx="234124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3" name="Chart 123">
          <a:extLst>
            <a:ext uri="{FF2B5EF4-FFF2-40B4-BE49-F238E27FC236}">
              <a16:creationId xmlns:a16="http://schemas.microsoft.com/office/drawing/2014/main" id="{761312BD-CBA1-43BF-A4CC-59899EC91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385717</xdr:colOff>
      <xdr:row>23</xdr:row>
      <xdr:rowOff>106681</xdr:rowOff>
    </xdr:from>
    <xdr:to>
      <xdr:col>14</xdr:col>
      <xdr:colOff>618127</xdr:colOff>
      <xdr:row>41</xdr:row>
      <xdr:rowOff>94615</xdr:rowOff>
    </xdr:to>
    <xdr:graphicFrame macro="">
      <xdr:nvGraphicFramePr>
        <xdr:cNvPr id="4" name="Chart 8">
          <a:extLst>
            <a:ext uri="{FF2B5EF4-FFF2-40B4-BE49-F238E27FC236}">
              <a16:creationId xmlns:a16="http://schemas.microsoft.com/office/drawing/2014/main" id="{EF9EB24E-C3FB-4C90-8726-93B11EB46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15875</xdr:colOff>
      <xdr:row>42</xdr:row>
      <xdr:rowOff>133350</xdr:rowOff>
    </xdr:from>
    <xdr:to>
      <xdr:col>7</xdr:col>
      <xdr:colOff>678181</xdr:colOff>
      <xdr:row>51</xdr:row>
      <xdr:rowOff>12698</xdr:rowOff>
    </xdr:to>
    <xdr:graphicFrame macro="">
      <xdr:nvGraphicFramePr>
        <xdr:cNvPr id="5" name="Chart 4">
          <a:extLst>
            <a:ext uri="{FF2B5EF4-FFF2-40B4-BE49-F238E27FC236}">
              <a16:creationId xmlns:a16="http://schemas.microsoft.com/office/drawing/2014/main" id="{392AEE7C-EE36-45D0-B59B-6A053743D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586740</xdr:colOff>
      <xdr:row>42</xdr:row>
      <xdr:rowOff>133349</xdr:rowOff>
    </xdr:from>
    <xdr:to>
      <xdr:col>14</xdr:col>
      <xdr:colOff>739140</xdr:colOff>
      <xdr:row>51</xdr:row>
      <xdr:rowOff>0</xdr:rowOff>
    </xdr:to>
    <xdr:graphicFrame macro="">
      <xdr:nvGraphicFramePr>
        <xdr:cNvPr id="6" name="Chart 15">
          <a:extLst>
            <a:ext uri="{FF2B5EF4-FFF2-40B4-BE49-F238E27FC236}">
              <a16:creationId xmlns:a16="http://schemas.microsoft.com/office/drawing/2014/main" id="{D46EBC4E-1791-4779-B3F3-C5D34A5BD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53</xdr:row>
      <xdr:rowOff>99060</xdr:rowOff>
    </xdr:from>
    <xdr:to>
      <xdr:col>6</xdr:col>
      <xdr:colOff>15240</xdr:colOff>
      <xdr:row>61</xdr:row>
      <xdr:rowOff>137160</xdr:rowOff>
    </xdr:to>
    <xdr:graphicFrame macro="">
      <xdr:nvGraphicFramePr>
        <xdr:cNvPr id="7" name="Chart 15">
          <a:extLst>
            <a:ext uri="{FF2B5EF4-FFF2-40B4-BE49-F238E27FC236}">
              <a16:creationId xmlns:a16="http://schemas.microsoft.com/office/drawing/2014/main" id="{853BBA33-2B89-4084-B8D8-809BB0B48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388619</xdr:colOff>
      <xdr:row>58</xdr:row>
      <xdr:rowOff>152094</xdr:rowOff>
    </xdr:from>
    <xdr:ext cx="466726" cy="267381"/>
    <xdr:sp macro="" textlink="$AD$50">
      <xdr:nvSpPr>
        <xdr:cNvPr id="33" name="テキスト ボックス 32">
          <a:extLst>
            <a:ext uri="{FF2B5EF4-FFF2-40B4-BE49-F238E27FC236}">
              <a16:creationId xmlns:a16="http://schemas.microsoft.com/office/drawing/2014/main" id="{D42EDE09-8A17-4D77-A29B-C2BA35D18F33}"/>
            </a:ext>
          </a:extLst>
        </xdr:cNvPr>
        <xdr:cNvSpPr txBox="1"/>
      </xdr:nvSpPr>
      <xdr:spPr>
        <a:xfrm>
          <a:off x="642365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1B88DCA6-4A97-4D55-865D-FC3AC8235F01}"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185419</xdr:colOff>
      <xdr:row>58</xdr:row>
      <xdr:rowOff>152094</xdr:rowOff>
    </xdr:from>
    <xdr:ext cx="466726" cy="267381"/>
    <xdr:sp macro="" textlink="$AD$51">
      <xdr:nvSpPr>
        <xdr:cNvPr id="34" name="テキスト ボックス 33">
          <a:extLst>
            <a:ext uri="{FF2B5EF4-FFF2-40B4-BE49-F238E27FC236}">
              <a16:creationId xmlns:a16="http://schemas.microsoft.com/office/drawing/2014/main" id="{B26178A5-D69F-4102-9549-ED00D52543E6}"/>
            </a:ext>
          </a:extLst>
        </xdr:cNvPr>
        <xdr:cNvSpPr txBox="1"/>
      </xdr:nvSpPr>
      <xdr:spPr>
        <a:xfrm>
          <a:off x="7035799"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731D396-01DB-4256-9D77-B0AF145E986D}"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12</xdr:col>
      <xdr:colOff>799464</xdr:colOff>
      <xdr:row>58</xdr:row>
      <xdr:rowOff>152094</xdr:rowOff>
    </xdr:from>
    <xdr:ext cx="466726" cy="267381"/>
    <xdr:sp macro="" textlink="$AD$52">
      <xdr:nvSpPr>
        <xdr:cNvPr id="35" name="テキスト ボックス 34">
          <a:extLst>
            <a:ext uri="{FF2B5EF4-FFF2-40B4-BE49-F238E27FC236}">
              <a16:creationId xmlns:a16="http://schemas.microsoft.com/office/drawing/2014/main" id="{FAE5BA8A-0D25-4D3B-AA7E-4AC074A0817F}"/>
            </a:ext>
          </a:extLst>
        </xdr:cNvPr>
        <xdr:cNvSpPr txBox="1"/>
      </xdr:nvSpPr>
      <xdr:spPr>
        <a:xfrm>
          <a:off x="764984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C3AA71A2-C156-47EE-83F1-5339354CF809}"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oneCellAnchor>
    <xdr:from>
      <xdr:col>14</xdr:col>
      <xdr:colOff>36194</xdr:colOff>
      <xdr:row>58</xdr:row>
      <xdr:rowOff>152094</xdr:rowOff>
    </xdr:from>
    <xdr:ext cx="466726" cy="267381"/>
    <xdr:sp macro="" textlink="$AD$53">
      <xdr:nvSpPr>
        <xdr:cNvPr id="36" name="テキスト ボックス 35">
          <a:extLst>
            <a:ext uri="{FF2B5EF4-FFF2-40B4-BE49-F238E27FC236}">
              <a16:creationId xmlns:a16="http://schemas.microsoft.com/office/drawing/2014/main" id="{27CA1AEE-7101-4E1A-8C9E-385ECECC95BC}"/>
            </a:ext>
          </a:extLst>
        </xdr:cNvPr>
        <xdr:cNvSpPr txBox="1"/>
      </xdr:nvSpPr>
      <xdr:spPr>
        <a:xfrm>
          <a:off x="8288654" y="9981894"/>
          <a:ext cx="46672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255B14E4-05C0-49FA-9C99-3D6493708E40}" type="TxLink">
            <a:rPr kumimoji="1" lang="en-US" altLang="en-US" sz="1050" b="1" i="0" u="none" strike="noStrike">
              <a:solidFill>
                <a:srgbClr val="000000"/>
              </a:solidFill>
              <a:latin typeface="ＭＳ Ｐゴシック"/>
              <a:ea typeface="ＭＳ Ｐゴシック"/>
            </a:rPr>
            <a:pPr/>
            <a:t> </a:t>
          </a:fld>
          <a:endParaRPr kumimoji="1" lang="ja-JP" altLang="en-US" sz="1050" b="1"/>
        </a:p>
      </xdr:txBody>
    </xdr:sp>
    <xdr:clientData/>
  </xdr:oneCellAnchor>
  <xdr:twoCellAnchor>
    <xdr:from>
      <xdr:col>17</xdr:col>
      <xdr:colOff>266700</xdr:colOff>
      <xdr:row>22</xdr:row>
      <xdr:rowOff>15240</xdr:rowOff>
    </xdr:from>
    <xdr:to>
      <xdr:col>18</xdr:col>
      <xdr:colOff>556260</xdr:colOff>
      <xdr:row>26</xdr:row>
      <xdr:rowOff>38100</xdr:rowOff>
    </xdr:to>
    <xdr:sp macro="" textlink="">
      <xdr:nvSpPr>
        <xdr:cNvPr id="39" name="星: 5 pt 38">
          <a:extLst>
            <a:ext uri="{FF2B5EF4-FFF2-40B4-BE49-F238E27FC236}">
              <a16:creationId xmlns:a16="http://schemas.microsoft.com/office/drawing/2014/main" id="{1D8ADA44-2F99-A65F-F142-544F7ACFC9B2}"/>
            </a:ext>
          </a:extLst>
        </xdr:cNvPr>
        <xdr:cNvSpPr/>
      </xdr:nvSpPr>
      <xdr:spPr>
        <a:xfrm>
          <a:off x="9624060" y="3383280"/>
          <a:ext cx="967740" cy="937260"/>
        </a:xfrm>
        <a:prstGeom prst="star5">
          <a:avLst/>
        </a:prstGeom>
        <a:pattFill prst="dkHorz">
          <a:fgClr>
            <a:schemeClr val="accent2"/>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1</xdr:row>
      <xdr:rowOff>83820</xdr:rowOff>
    </xdr:from>
    <xdr:to>
      <xdr:col>11</xdr:col>
      <xdr:colOff>557617</xdr:colOff>
      <xdr:row>4</xdr:row>
      <xdr:rowOff>7619</xdr:rowOff>
    </xdr:to>
    <xdr:pic>
      <xdr:nvPicPr>
        <xdr:cNvPr id="8" name="図 7">
          <a:extLst>
            <a:ext uri="{FF2B5EF4-FFF2-40B4-BE49-F238E27FC236}">
              <a16:creationId xmlns:a16="http://schemas.microsoft.com/office/drawing/2014/main" id="{77CF6AFC-C177-417F-9827-7C2A758C1B4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440" y="160020"/>
          <a:ext cx="6501217" cy="632459"/>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0.0593</cdr:x>
      <cdr:y>0.44568</cdr:y>
    </cdr:from>
    <cdr:to>
      <cdr:x>0.96265</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15051" y="710346"/>
          <a:ext cx="3276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0.07238</cdr:x>
      <cdr:y>0.63855</cdr:y>
    </cdr:from>
    <cdr:to>
      <cdr:x>0.23423</cdr:x>
      <cdr:y>0.78916</cdr:y>
    </cdr:to>
    <cdr:sp macro="" textlink="'結果(感染対策)'!$Z$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0.09438</cdr:x>
      <cdr:y>0.64781</cdr:y>
    </cdr:from>
    <cdr:to>
      <cdr:x>0.19365</cdr:x>
      <cdr:y>0.80592</cdr:y>
    </cdr:to>
    <cdr:sp macro="" textlink="'結果(感染対策)'!$T$49">
      <cdr:nvSpPr>
        <cdr:cNvPr id="3" name="テキスト ボックス 2">
          <a:extLst xmlns:a="http://schemas.openxmlformats.org/drawingml/2006/main">
            <a:ext uri="{FF2B5EF4-FFF2-40B4-BE49-F238E27FC236}">
              <a16:creationId xmlns:a16="http://schemas.microsoft.com/office/drawing/2014/main" id="{92AA284C-CA93-FAF6-6B52-39B9DA50C9AB}"/>
            </a:ext>
          </a:extLst>
        </cdr:cNvPr>
        <cdr:cNvSpPr txBox="1"/>
      </cdr:nvSpPr>
      <cdr:spPr>
        <a:xfrm xmlns:a="http://schemas.openxmlformats.org/drawingml/2006/main">
          <a:off x="34226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7519E9A-D036-46B4-87D9-29043BA7B71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0.27508</cdr:x>
      <cdr:y>0.64781</cdr:y>
    </cdr:from>
    <cdr:to>
      <cdr:x>0.37435</cdr:x>
      <cdr:y>0.80592</cdr:y>
    </cdr:to>
    <cdr:sp macro="" textlink="'結果(感染対策)'!$T$50">
      <cdr:nvSpPr>
        <cdr:cNvPr id="9" name="テキスト ボックス 8">
          <a:extLst xmlns:a="http://schemas.openxmlformats.org/drawingml/2006/main">
            <a:ext uri="{FF2B5EF4-FFF2-40B4-BE49-F238E27FC236}">
              <a16:creationId xmlns:a16="http://schemas.microsoft.com/office/drawing/2014/main" id="{057113F2-AC75-F8EA-7611-A9E4FC750CAB}"/>
            </a:ext>
          </a:extLst>
        </cdr:cNvPr>
        <cdr:cNvSpPr txBox="1"/>
      </cdr:nvSpPr>
      <cdr:spPr>
        <a:xfrm xmlns:a="http://schemas.openxmlformats.org/drawingml/2006/main">
          <a:off x="99758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858AFFA-D700-422C-8FA7-67CDE8830A2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0.45579</cdr:x>
      <cdr:y>0.64781</cdr:y>
    </cdr:from>
    <cdr:to>
      <cdr:x>0.55506</cdr:x>
      <cdr:y>0.80592</cdr:y>
    </cdr:to>
    <cdr:sp macro="" textlink="'結果(感染対策)'!$T$51">
      <cdr:nvSpPr>
        <cdr:cNvPr id="10" name="テキスト ボックス 9">
          <a:extLst xmlns:a="http://schemas.openxmlformats.org/drawingml/2006/main">
            <a:ext uri="{FF2B5EF4-FFF2-40B4-BE49-F238E27FC236}">
              <a16:creationId xmlns:a16="http://schemas.microsoft.com/office/drawing/2014/main" id="{04D72398-64AE-ECCE-9306-67A1FF6D85B7}"/>
            </a:ext>
          </a:extLst>
        </cdr:cNvPr>
        <cdr:cNvSpPr txBox="1"/>
      </cdr:nvSpPr>
      <cdr:spPr>
        <a:xfrm xmlns:a="http://schemas.openxmlformats.org/drawingml/2006/main">
          <a:off x="165290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B7C7FA3-8C65-4505-971F-12AA52073D36}"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0.63649</cdr:x>
      <cdr:y>0.64781</cdr:y>
    </cdr:from>
    <cdr:to>
      <cdr:x>0.73576</cdr:x>
      <cdr:y>0.80592</cdr:y>
    </cdr:to>
    <cdr:sp macro="" textlink="'結果(感染対策)'!$T$52">
      <cdr:nvSpPr>
        <cdr:cNvPr id="11" name="テキスト ボックス 10">
          <a:extLst xmlns:a="http://schemas.openxmlformats.org/drawingml/2006/main">
            <a:ext uri="{FF2B5EF4-FFF2-40B4-BE49-F238E27FC236}">
              <a16:creationId xmlns:a16="http://schemas.microsoft.com/office/drawing/2014/main" id="{784CEBF3-D353-449C-F9F1-82C961A0ABB1}"/>
            </a:ext>
          </a:extLst>
        </cdr:cNvPr>
        <cdr:cNvSpPr txBox="1"/>
      </cdr:nvSpPr>
      <cdr:spPr>
        <a:xfrm xmlns:a="http://schemas.openxmlformats.org/drawingml/2006/main">
          <a:off x="230822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060F9AA-B110-424E-BB5A-ED904E2ECBAE}"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0.81719</cdr:x>
      <cdr:y>0.64781</cdr:y>
    </cdr:from>
    <cdr:to>
      <cdr:x>0.91646</cdr:x>
      <cdr:y>0.80592</cdr:y>
    </cdr:to>
    <cdr:sp macro="" textlink="'結果(感染対策)'!$T$53">
      <cdr:nvSpPr>
        <cdr:cNvPr id="12" name="テキスト ボックス 11">
          <a:extLst xmlns:a="http://schemas.openxmlformats.org/drawingml/2006/main">
            <a:ext uri="{FF2B5EF4-FFF2-40B4-BE49-F238E27FC236}">
              <a16:creationId xmlns:a16="http://schemas.microsoft.com/office/drawing/2014/main" id="{8CA73476-2F4C-B2E1-9DBB-261BA1718A79}"/>
            </a:ext>
          </a:extLst>
        </cdr:cNvPr>
        <cdr:cNvSpPr txBox="1"/>
      </cdr:nvSpPr>
      <cdr:spPr>
        <a:xfrm xmlns:a="http://schemas.openxmlformats.org/drawingml/2006/main">
          <a:off x="2963546" y="1032510"/>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F4FDC2B-A8E0-42ED-9E06-5A8BE4C7B198}"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10.xml><?xml version="1.0" encoding="utf-8"?>
<c:userShapes xmlns:c="http://schemas.openxmlformats.org/drawingml/2006/chart">
  <cdr:relSizeAnchor xmlns:cdr="http://schemas.openxmlformats.org/drawingml/2006/chartDrawing">
    <cdr:from>
      <cdr:x>0.04243</cdr:x>
      <cdr:y>0.44746</cdr:y>
    </cdr:from>
    <cdr:to>
      <cdr:x>0.97796</cdr:x>
      <cdr:y>0.44746</cdr:y>
    </cdr:to>
    <cdr:sp macro="" textlink="">
      <cdr:nvSpPr>
        <cdr:cNvPr id="10244" name="Line 4"/>
        <cdr:cNvSpPr>
          <a:spLocks xmlns:a="http://schemas.openxmlformats.org/drawingml/2006/main" noChangeShapeType="1"/>
        </cdr:cNvSpPr>
      </cdr:nvSpPr>
      <cdr:spPr bwMode="auto">
        <a:xfrm xmlns:a="http://schemas.openxmlformats.org/drawingml/2006/main" flipV="1">
          <a:off x="228599" y="707500"/>
          <a:ext cx="50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感染対策)'!$Z$51">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0.06365</cdr:x>
      <cdr:y>0.66747</cdr:y>
    </cdr:from>
    <cdr:to>
      <cdr:x>0.13047</cdr:x>
      <cdr:y>0.82685</cdr:y>
    </cdr:to>
    <cdr:sp macro="" textlink="'結果(感染対策)'!$W$49">
      <cdr:nvSpPr>
        <cdr:cNvPr id="6" name="テキスト ボックス 5">
          <a:extLst xmlns:a="http://schemas.openxmlformats.org/drawingml/2006/main">
            <a:ext uri="{FF2B5EF4-FFF2-40B4-BE49-F238E27FC236}">
              <a16:creationId xmlns:a16="http://schemas.microsoft.com/office/drawing/2014/main" id="{50F3447A-B041-1990-BC77-E40E48B556FE}"/>
            </a:ext>
          </a:extLst>
        </cdr:cNvPr>
        <cdr:cNvSpPr txBox="1"/>
      </cdr:nvSpPr>
      <cdr:spPr>
        <a:xfrm xmlns:a="http://schemas.openxmlformats.org/drawingml/2006/main">
          <a:off x="342900" y="1055371"/>
          <a:ext cx="360000" cy="25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20A7299-DAB2-4006-8589-D5FD8C1E0297}"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0.17876</cdr:x>
      <cdr:y>0.66747</cdr:y>
    </cdr:from>
    <cdr:to>
      <cdr:x>0.24558</cdr:x>
      <cdr:y>0.82685</cdr:y>
    </cdr:to>
    <cdr:sp macro="" textlink="'結果(感染対策)'!$W$50">
      <cdr:nvSpPr>
        <cdr:cNvPr id="7"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963023"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9C1826-5693-41EC-A2EC-7F7F4581C6AB}"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0.29386</cdr:x>
      <cdr:y>0.66747</cdr:y>
    </cdr:from>
    <cdr:to>
      <cdr:x>0.36069</cdr:x>
      <cdr:y>0.82685</cdr:y>
    </cdr:to>
    <cdr:sp macro="" textlink="'結果(感染対策)'!$W$51">
      <cdr:nvSpPr>
        <cdr:cNvPr id="8"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1583146"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472BA99-0051-4392-B29C-34E658704B44}"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0.40897</cdr:x>
      <cdr:y>0.66747</cdr:y>
    </cdr:from>
    <cdr:to>
      <cdr:x>0.47579</cdr:x>
      <cdr:y>0.82685</cdr:y>
    </cdr:to>
    <cdr:sp macro="" textlink="'結果(感染対策)'!$W$52">
      <cdr:nvSpPr>
        <cdr:cNvPr id="9"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203269"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01C6CA-0F03-411A-B72B-45A31B8A279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0.52408</cdr:x>
      <cdr:y>0.66747</cdr:y>
    </cdr:from>
    <cdr:to>
      <cdr:x>0.5909</cdr:x>
      <cdr:y>0.82685</cdr:y>
    </cdr:to>
    <cdr:sp macro="" textlink="'結果(感染対策)'!$W$53">
      <cdr:nvSpPr>
        <cdr:cNvPr id="10"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2823392"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A2A8BF-B826-43E1-87C2-E43D17C8D76F}"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0.63919</cdr:x>
      <cdr:y>0.66747</cdr:y>
    </cdr:from>
    <cdr:to>
      <cdr:x>0.70601</cdr:x>
      <cdr:y>0.82685</cdr:y>
    </cdr:to>
    <cdr:sp macro="" textlink="'結果(感染対策)'!$W$54">
      <cdr:nvSpPr>
        <cdr:cNvPr id="11"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3443515"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7EA7C8-F42D-4908-87F2-8ABDF1086B8C}"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0.75429</cdr:x>
      <cdr:y>0.66747</cdr:y>
    </cdr:from>
    <cdr:to>
      <cdr:x>0.82112</cdr:x>
      <cdr:y>0.82685</cdr:y>
    </cdr:to>
    <cdr:sp macro="" textlink="'結果(感染対策)'!$W$55">
      <cdr:nvSpPr>
        <cdr:cNvPr id="12"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063638"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EBF3EA1-8C86-4EE3-9AD8-E70DC0D32459}"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dr:relSizeAnchor xmlns:cdr="http://schemas.openxmlformats.org/drawingml/2006/chartDrawing">
    <cdr:from>
      <cdr:x>0.8694</cdr:x>
      <cdr:y>0.66747</cdr:y>
    </cdr:from>
    <cdr:to>
      <cdr:x>0.93622</cdr:x>
      <cdr:y>0.82685</cdr:y>
    </cdr:to>
    <cdr:sp macro="" textlink="'結果(感染対策)'!$W$56">
      <cdr:nvSpPr>
        <cdr:cNvPr id="13" name="テキスト ボックス 1">
          <a:extLst xmlns:a="http://schemas.openxmlformats.org/drawingml/2006/main">
            <a:ext uri="{FF2B5EF4-FFF2-40B4-BE49-F238E27FC236}">
              <a16:creationId xmlns:a16="http://schemas.microsoft.com/office/drawing/2014/main" id="{8CD1D574-8673-7D78-2542-A6C922D28E2F}"/>
            </a:ext>
          </a:extLst>
        </cdr:cNvPr>
        <cdr:cNvSpPr txBox="1"/>
      </cdr:nvSpPr>
      <cdr:spPr>
        <a:xfrm xmlns:a="http://schemas.openxmlformats.org/drawingml/2006/main">
          <a:off x="4683760" y="1055371"/>
          <a:ext cx="360000" cy="25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1899272-42B1-47A2-8192-5970B16477E3}" type="TxLink">
            <a:rPr lang="en-US" altLang="en-US" sz="1000" b="1" i="0" u="none" strike="noStrike">
              <a:solidFill>
                <a:srgbClr val="000000"/>
              </a:solidFill>
              <a:latin typeface="ＭＳ Ｐゴシック"/>
              <a:ea typeface="ＭＳ Ｐゴシック"/>
            </a:rPr>
            <a:pPr/>
            <a:t> </a:t>
          </a:fld>
          <a:endParaRPr lang="ja-JP" altLang="en-US" sz="1000" b="1"/>
        </a:p>
      </cdr:txBody>
    </cdr:sp>
  </cdr:relSizeAnchor>
</c:userShapes>
</file>

<file path=xl/drawings/drawing11.xml><?xml version="1.0" encoding="utf-8"?>
<c:userShapes xmlns:c="http://schemas.openxmlformats.org/drawingml/2006/chart">
  <cdr:relSizeAnchor xmlns:cdr="http://schemas.openxmlformats.org/drawingml/2006/chartDrawing">
    <cdr:from>
      <cdr:x>0.06678</cdr:x>
      <cdr:y>0.44759</cdr:y>
    </cdr:from>
    <cdr:to>
      <cdr:x>0.97049</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39420" y="716234"/>
          <a:ext cx="3240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0.66489</cdr:y>
    </cdr:from>
    <cdr:to>
      <cdr:x>0.30892</cdr:x>
      <cdr:y>0.83092</cdr:y>
    </cdr:to>
    <cdr:sp macro="" textlink="'結果(感染対策)'!$Z$49">
      <cdr:nvSpPr>
        <cdr:cNvPr id="2" name="テキスト ボックス 1"/>
        <cdr:cNvSpPr txBox="1"/>
      </cdr:nvSpPr>
      <cdr:spPr>
        <a:xfrm xmlns:a="http://schemas.openxmlformats.org/drawingml/2006/main">
          <a:off x="188518" y="1048758"/>
          <a:ext cx="550621" cy="2618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E41FD7D-55A2-4A48-AF49-6C5390489A5D}"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0.40247</cdr:x>
      <cdr:y>0.67455</cdr:y>
    </cdr:from>
    <cdr:to>
      <cdr:x>0.63376</cdr:x>
      <cdr:y>0.83203</cdr:y>
    </cdr:to>
    <cdr:sp macro="" textlink="'結果(感染対策)'!$Z$50">
      <cdr:nvSpPr>
        <cdr:cNvPr id="4" name="テキスト ボックス 1"/>
        <cdr:cNvSpPr txBox="1"/>
      </cdr:nvSpPr>
      <cdr:spPr>
        <a:xfrm xmlns:a="http://schemas.openxmlformats.org/drawingml/2006/main">
          <a:off x="962976" y="1063998"/>
          <a:ext cx="553403" cy="2483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8F2634F-C61E-4BFE-A8C1-FF7545491407}" type="TxLink">
            <a:rPr lang="en-US" altLang="en-US" sz="1000" b="1" i="0" u="none" strike="noStrike">
              <a:solidFill>
                <a:srgbClr val="000000"/>
              </a:solidFill>
              <a:latin typeface="ＭＳ Ｐゴシック"/>
              <a:ea typeface="ＭＳ Ｐゴシック"/>
              <a:cs typeface="Arial"/>
            </a:rPr>
            <a:pPr algn="ctr"/>
            <a:t> </a:t>
          </a:fld>
          <a:endParaRPr lang="ja-JP" altLang="en-US" sz="800" b="1"/>
        </a:p>
      </cdr:txBody>
    </cdr:sp>
  </cdr:relSizeAnchor>
  <cdr:relSizeAnchor xmlns:cdr="http://schemas.openxmlformats.org/drawingml/2006/chartDrawing">
    <cdr:from>
      <cdr:x>0.72615</cdr:x>
      <cdr:y>0.67455</cdr:y>
    </cdr:from>
    <cdr:to>
      <cdr:x>0.90446</cdr:x>
      <cdr:y>0.81643</cdr:y>
    </cdr:to>
    <cdr:sp macro="" textlink="'結果(感染対策)'!$Z$51">
      <cdr:nvSpPr>
        <cdr:cNvPr id="5" name="テキスト ボックス 1"/>
        <cdr:cNvSpPr txBox="1"/>
      </cdr:nvSpPr>
      <cdr:spPr>
        <a:xfrm xmlns:a="http://schemas.openxmlformats.org/drawingml/2006/main">
          <a:off x="1737435" y="1063999"/>
          <a:ext cx="426645" cy="223782"/>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ctr"/>
          <a:fld id="{F02F1EDE-8BE4-471F-8C09-E687A358A58A}" type="TxLink">
            <a:rPr lang="en-US" altLang="en-US" sz="1000" b="1" i="0" u="none" strike="noStrike">
              <a:solidFill>
                <a:srgbClr val="000000"/>
              </a:solidFill>
              <a:latin typeface="ＭＳ Ｐゴシック"/>
              <a:ea typeface="ＭＳ Ｐゴシック"/>
            </a:rPr>
            <a:pPr algn="ctr"/>
            <a:t> </a:t>
          </a:fld>
          <a:endParaRPr lang="en-US" altLang="en-US" sz="800" b="1"/>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9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-WO_2025v1.0</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月発行　（</a:t>
          </a:r>
          <a:r>
            <a:rPr lang="en-US" altLang="ja-JP" sz="1100" b="0" i="0" u="none" strike="noStrike" baseline="0">
              <a:solidFill>
                <a:sysClr val="windowText" lastClr="000000"/>
              </a:solidFill>
              <a:latin typeface="ＭＳ Ｐゴシック"/>
              <a:ea typeface="ＭＳ Ｐゴシック"/>
            </a:rPr>
            <a:t>2021</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月初版）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©2025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09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en-US" altLang="ja-JP" sz="1100" b="0" i="0" u="none" strike="noStrike" baseline="0">
              <a:solidFill>
                <a:srgbClr val="000000"/>
              </a:solidFill>
              <a:latin typeface="ＭＳ Ｐゴシック"/>
              <a:ea typeface="ＭＳ Ｐゴシック"/>
            </a:rPr>
            <a:t>1) Microsoft Excel 2019 </a:t>
          </a:r>
          <a:r>
            <a:rPr lang="ja-JP" altLang="en-US" sz="1100" b="0" i="0" u="none" strike="noStrike" baseline="0">
              <a:solidFill>
                <a:srgbClr val="000000"/>
              </a:solidFill>
              <a:latin typeface="ＭＳ Ｐゴシック"/>
              <a:ea typeface="ＭＳ Ｐゴシック"/>
            </a:rPr>
            <a:t>は、米国</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その他、記載されている会社名、製品名はすべて各社の登録商標または商標です。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3) </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ウェルネスオフィス 評価ソフト」は、</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5) </a:t>
          </a:r>
          <a:r>
            <a:rPr lang="ja-JP" altLang="en-US" sz="1100" b="0" i="0" u="none" strike="noStrike" baseline="0">
              <a:solidFill>
                <a:srgbClr val="000000"/>
              </a:solidFill>
              <a:latin typeface="ＭＳ Ｐゴシック"/>
              <a:ea typeface="ＭＳ Ｐゴシック"/>
            </a:rPr>
            <a:t>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6) </a:t>
          </a:r>
          <a:r>
            <a:rPr lang="ja-JP" altLang="en-US" sz="1100" b="0" i="0" u="none" strike="noStrike" baseline="0">
              <a:solidFill>
                <a:srgbClr val="000000"/>
              </a:solidFill>
              <a:latin typeface="ＭＳ Ｐゴシック"/>
              <a:ea typeface="ＭＳ Ｐゴシック"/>
            </a:rPr>
            <a:t>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7) </a:t>
          </a:r>
          <a:r>
            <a:rPr lang="ja-JP" altLang="en-US" sz="1100" b="0" i="0" u="none" strike="noStrike" baseline="0">
              <a:solidFill>
                <a:srgbClr val="000000"/>
              </a:solidFill>
              <a:latin typeface="ＭＳ Ｐゴシック"/>
              <a:ea typeface="ＭＳ Ｐゴシック"/>
            </a:rPr>
            <a:t>この評価ソフトは </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R93"/>
  <sheetViews>
    <sheetView showGridLines="0" tabSelected="1" zoomScale="115" zoomScaleNormal="115" zoomScaleSheetLayoutView="100" workbookViewId="0">
      <selection activeCell="D46" sqref="D46"/>
    </sheetView>
  </sheetViews>
  <sheetFormatPr defaultColWidth="0" defaultRowHeight="13.5" zeroHeight="1"/>
  <cols>
    <col min="1" max="1" width="1.75" customWidth="1"/>
    <col min="2" max="2" width="21.625" customWidth="1"/>
    <col min="3" max="3" width="22.125" customWidth="1"/>
    <col min="4" max="4" width="18.375" customWidth="1"/>
    <col min="5" max="5" width="13.875" customWidth="1"/>
    <col min="6" max="6" width="11.875" customWidth="1"/>
    <col min="7" max="7" width="1.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8.875" hidden="1"/>
  </cols>
  <sheetData>
    <row r="1" spans="1:10" ht="8.25" customHeight="1">
      <c r="A1" s="4"/>
      <c r="B1" s="5"/>
      <c r="C1" s="4"/>
      <c r="D1" s="4"/>
      <c r="E1" s="4"/>
      <c r="F1" s="4"/>
      <c r="G1" s="4"/>
    </row>
    <row r="2" spans="1:10" ht="25.5" customHeight="1">
      <c r="A2" s="4"/>
      <c r="B2" s="5"/>
      <c r="C2" s="4"/>
      <c r="D2" s="4"/>
      <c r="E2" s="4"/>
      <c r="F2" s="4"/>
      <c r="G2" s="4"/>
    </row>
    <row r="3" spans="1:10" ht="25.5" customHeight="1">
      <c r="A3" s="4"/>
      <c r="B3" s="5"/>
      <c r="C3" s="4"/>
      <c r="D3" s="4"/>
      <c r="E3" s="4"/>
      <c r="F3" s="719"/>
      <c r="G3" s="4"/>
    </row>
    <row r="4" spans="1:10" ht="25.5" customHeight="1">
      <c r="A4" s="4"/>
      <c r="B4" s="6" t="s">
        <v>247</v>
      </c>
      <c r="C4" s="7"/>
      <c r="D4" s="7"/>
      <c r="E4" s="7"/>
      <c r="F4" s="8"/>
      <c r="G4" s="4"/>
      <c r="J4" t="s">
        <v>252</v>
      </c>
    </row>
    <row r="5" spans="1:10">
      <c r="A5" s="9"/>
      <c r="B5" s="10" t="s">
        <v>39</v>
      </c>
      <c r="C5" s="861" t="s">
        <v>1077</v>
      </c>
      <c r="D5" s="11"/>
      <c r="E5" s="4"/>
      <c r="F5" s="4"/>
      <c r="G5" s="4"/>
      <c r="J5" t="s">
        <v>253</v>
      </c>
    </row>
    <row r="6" spans="1:10">
      <c r="A6" s="9"/>
      <c r="B6" s="13" t="s">
        <v>172</v>
      </c>
      <c r="C6" s="10" t="s">
        <v>1071</v>
      </c>
      <c r="D6" s="14"/>
      <c r="E6" s="4"/>
      <c r="F6" s="4"/>
      <c r="G6" s="4"/>
      <c r="J6" t="s">
        <v>251</v>
      </c>
    </row>
    <row r="7" spans="1:10" ht="6.75" customHeight="1" thickBot="1">
      <c r="A7" s="9"/>
      <c r="B7" s="12"/>
      <c r="C7" s="12"/>
      <c r="D7" s="12"/>
      <c r="E7" s="12"/>
      <c r="F7" s="12"/>
      <c r="G7" s="4"/>
      <c r="J7" t="s">
        <v>282</v>
      </c>
    </row>
    <row r="8" spans="1:10" ht="15" customHeight="1">
      <c r="A8" s="9"/>
      <c r="B8" s="15" t="s">
        <v>167</v>
      </c>
      <c r="C8" s="16"/>
      <c r="D8" s="16"/>
      <c r="E8" s="16"/>
      <c r="F8" s="17"/>
      <c r="G8" s="4"/>
      <c r="J8" t="s">
        <v>353</v>
      </c>
    </row>
    <row r="9" spans="1:10" ht="15" customHeight="1">
      <c r="A9" s="9"/>
      <c r="B9" s="18" t="s">
        <v>168</v>
      </c>
      <c r="C9" s="19"/>
      <c r="D9" s="19"/>
      <c r="E9" s="19"/>
      <c r="F9" s="20"/>
      <c r="G9" s="4"/>
    </row>
    <row r="10" spans="1:10" ht="15" hidden="1" customHeight="1">
      <c r="A10" s="9"/>
      <c r="B10" s="21"/>
      <c r="C10" s="22"/>
      <c r="D10" s="22"/>
      <c r="E10" s="22"/>
      <c r="F10" s="23"/>
      <c r="G10" s="4"/>
    </row>
    <row r="11" spans="1:10" ht="15" customHeight="1">
      <c r="A11" s="9"/>
      <c r="B11" s="24" t="s">
        <v>269</v>
      </c>
      <c r="C11" s="868" t="s">
        <v>60</v>
      </c>
      <c r="D11" s="869"/>
      <c r="E11" s="870"/>
      <c r="F11" s="27"/>
      <c r="G11" s="4"/>
      <c r="I11" t="s">
        <v>0</v>
      </c>
    </row>
    <row r="12" spans="1:10" ht="15" customHeight="1">
      <c r="A12" s="9"/>
      <c r="B12" s="28" t="s">
        <v>270</v>
      </c>
      <c r="C12" s="871" t="s">
        <v>169</v>
      </c>
      <c r="D12" s="872"/>
      <c r="E12" s="873"/>
      <c r="F12" s="31"/>
      <c r="G12" s="4"/>
      <c r="I12" t="s">
        <v>1</v>
      </c>
    </row>
    <row r="13" spans="1:10" ht="15" hidden="1" customHeight="1">
      <c r="A13" s="9"/>
      <c r="B13" s="28"/>
      <c r="C13" s="29"/>
      <c r="D13" s="428"/>
      <c r="E13" s="30"/>
      <c r="F13" s="31"/>
      <c r="G13" s="4"/>
      <c r="I13" t="s">
        <v>2</v>
      </c>
    </row>
    <row r="14" spans="1:10" ht="15" customHeight="1">
      <c r="A14" s="9"/>
      <c r="B14" s="28" t="s">
        <v>272</v>
      </c>
      <c r="C14" s="871" t="s">
        <v>8</v>
      </c>
      <c r="D14" s="872"/>
      <c r="E14" s="873"/>
      <c r="F14" s="27"/>
      <c r="G14" s="4"/>
      <c r="I14" t="s">
        <v>3</v>
      </c>
    </row>
    <row r="15" spans="1:10" ht="15" customHeight="1">
      <c r="A15" s="9"/>
      <c r="B15" s="28" t="s">
        <v>271</v>
      </c>
      <c r="C15" s="32" t="s">
        <v>677</v>
      </c>
      <c r="D15" s="26"/>
      <c r="E15" s="26"/>
      <c r="F15" s="31"/>
      <c r="G15" s="4"/>
      <c r="I15" t="s">
        <v>4</v>
      </c>
    </row>
    <row r="16" spans="1:10" ht="15" hidden="1" customHeight="1">
      <c r="A16" s="9"/>
      <c r="B16" s="440" t="s">
        <v>255</v>
      </c>
      <c r="C16" s="32" t="s">
        <v>258</v>
      </c>
      <c r="D16" s="26"/>
      <c r="E16" s="26"/>
      <c r="F16" s="27"/>
      <c r="G16" s="4"/>
      <c r="I16" t="s">
        <v>5</v>
      </c>
    </row>
    <row r="17" spans="1:12" ht="15" customHeight="1">
      <c r="A17" s="9"/>
      <c r="B17" s="28" t="s">
        <v>273</v>
      </c>
      <c r="C17" s="33" t="s">
        <v>61</v>
      </c>
      <c r="D17" s="34" t="s">
        <v>62</v>
      </c>
      <c r="E17" s="34"/>
      <c r="F17" s="27"/>
      <c r="G17" s="4"/>
      <c r="I17" t="s">
        <v>6</v>
      </c>
    </row>
    <row r="18" spans="1:12" ht="15" customHeight="1">
      <c r="A18" s="9"/>
      <c r="B18" s="28" t="s">
        <v>274</v>
      </c>
      <c r="C18" s="33" t="s">
        <v>63</v>
      </c>
      <c r="D18" s="34" t="s">
        <v>64</v>
      </c>
      <c r="E18" s="34"/>
      <c r="F18" s="27"/>
      <c r="G18" s="4"/>
      <c r="I18" t="s">
        <v>7</v>
      </c>
    </row>
    <row r="19" spans="1:12" ht="15" customHeight="1">
      <c r="A19" s="9"/>
      <c r="B19" s="28" t="s">
        <v>276</v>
      </c>
      <c r="C19" s="33">
        <v>3000</v>
      </c>
      <c r="D19" s="34" t="s">
        <v>62</v>
      </c>
      <c r="E19" s="34"/>
      <c r="F19" s="27"/>
      <c r="G19" s="4"/>
    </row>
    <row r="20" spans="1:12" ht="15" customHeight="1">
      <c r="A20" s="9"/>
      <c r="B20" s="28" t="s">
        <v>275</v>
      </c>
      <c r="C20" s="871" t="s">
        <v>65</v>
      </c>
      <c r="D20" s="872"/>
      <c r="E20" s="873"/>
      <c r="F20" s="27"/>
      <c r="G20" s="4"/>
    </row>
    <row r="21" spans="1:12" ht="15" customHeight="1">
      <c r="A21" s="9"/>
      <c r="B21" s="36"/>
      <c r="C21" s="874"/>
      <c r="D21" s="875"/>
      <c r="E21" s="876"/>
      <c r="F21" s="27"/>
      <c r="G21" s="4"/>
    </row>
    <row r="22" spans="1:12" ht="15" customHeight="1">
      <c r="A22" s="9"/>
      <c r="B22" s="28" t="s">
        <v>278</v>
      </c>
      <c r="C22" s="25" t="s">
        <v>9</v>
      </c>
      <c r="D22" s="26"/>
      <c r="E22" s="26"/>
      <c r="F22" s="27"/>
      <c r="G22" s="4"/>
    </row>
    <row r="23" spans="1:12" ht="15" customHeight="1">
      <c r="A23" s="9"/>
      <c r="B23" s="28" t="s">
        <v>277</v>
      </c>
      <c r="C23" s="25"/>
      <c r="D23" s="26"/>
      <c r="E23" s="26"/>
      <c r="F23" s="27"/>
      <c r="G23" s="4"/>
      <c r="I23" t="s">
        <v>78</v>
      </c>
      <c r="J23" t="s">
        <v>77</v>
      </c>
      <c r="K23" t="s">
        <v>79</v>
      </c>
      <c r="L23" t="s">
        <v>80</v>
      </c>
    </row>
    <row r="24" spans="1:12" ht="13.5" hidden="1" customHeight="1" thickBot="1">
      <c r="A24" s="9"/>
      <c r="B24" s="28"/>
      <c r="C24" s="38"/>
      <c r="D24" s="38"/>
      <c r="E24" s="38"/>
      <c r="F24" s="39"/>
      <c r="G24" s="4"/>
    </row>
    <row r="25" spans="1:12" ht="14.25" hidden="1" thickBot="1">
      <c r="A25" s="9"/>
      <c r="B25" s="41" t="s">
        <v>284</v>
      </c>
      <c r="C25" s="42"/>
      <c r="D25" s="42"/>
      <c r="E25" s="42"/>
      <c r="F25" s="43"/>
      <c r="G25" s="4"/>
    </row>
    <row r="26" spans="1:12" hidden="1">
      <c r="A26" s="9"/>
      <c r="B26" s="456" t="s">
        <v>289</v>
      </c>
      <c r="C26" s="25" t="s">
        <v>285</v>
      </c>
      <c r="D26" s="26"/>
      <c r="E26" s="26"/>
      <c r="F26" s="432"/>
      <c r="G26" s="4"/>
    </row>
    <row r="27" spans="1:12" hidden="1">
      <c r="A27" s="9"/>
      <c r="B27" s="456" t="s">
        <v>290</v>
      </c>
      <c r="C27" s="871" t="s">
        <v>286</v>
      </c>
      <c r="D27" s="872"/>
      <c r="E27" s="873"/>
      <c r="F27" s="27"/>
      <c r="G27" s="4"/>
    </row>
    <row r="28" spans="1:12" hidden="1">
      <c r="A28" s="9"/>
      <c r="B28" s="456" t="s">
        <v>291</v>
      </c>
      <c r="C28" s="44">
        <v>41831</v>
      </c>
      <c r="D28" s="26"/>
      <c r="E28" s="26"/>
      <c r="F28" s="27"/>
      <c r="G28" s="4"/>
    </row>
    <row r="29" spans="1:12" hidden="1">
      <c r="A29" s="9"/>
      <c r="B29" s="456" t="s">
        <v>292</v>
      </c>
      <c r="C29" s="33" t="s">
        <v>287</v>
      </c>
      <c r="D29" s="34" t="s">
        <v>220</v>
      </c>
      <c r="E29" s="26"/>
      <c r="F29" s="27"/>
      <c r="G29" s="4"/>
    </row>
    <row r="30" spans="1:12" hidden="1">
      <c r="A30" s="9"/>
      <c r="B30" s="456" t="s">
        <v>293</v>
      </c>
      <c r="C30" s="25" t="s">
        <v>288</v>
      </c>
      <c r="D30" s="26"/>
      <c r="E30" s="26"/>
      <c r="F30" s="27"/>
      <c r="G30" s="4"/>
    </row>
    <row r="31" spans="1:12" hidden="1">
      <c r="A31" s="9"/>
      <c r="B31" s="28"/>
      <c r="C31" s="38"/>
      <c r="D31" s="38"/>
      <c r="E31" s="38"/>
      <c r="F31" s="39"/>
      <c r="G31" s="4"/>
    </row>
    <row r="32" spans="1:12">
      <c r="A32" s="9"/>
      <c r="B32" s="28" t="s">
        <v>279</v>
      </c>
      <c r="C32" s="37" t="s">
        <v>66</v>
      </c>
      <c r="D32" s="34" t="s">
        <v>81</v>
      </c>
      <c r="E32" s="34"/>
      <c r="F32" s="27"/>
      <c r="G32" s="4"/>
    </row>
    <row r="33" spans="1:13" ht="14.25" thickBot="1">
      <c r="A33" s="9"/>
      <c r="B33" s="28" t="s">
        <v>280</v>
      </c>
      <c r="C33" s="37" t="s">
        <v>67</v>
      </c>
      <c r="D33" s="34" t="s">
        <v>82</v>
      </c>
      <c r="E33" s="431" t="s">
        <v>1031</v>
      </c>
      <c r="F33" s="863" t="s">
        <v>658</v>
      </c>
      <c r="G33" s="4"/>
      <c r="I33" t="s">
        <v>295</v>
      </c>
      <c r="J33" t="s">
        <v>296</v>
      </c>
    </row>
    <row r="34" spans="1:13" ht="14.25" hidden="1" thickBot="1">
      <c r="A34" s="9"/>
      <c r="B34" s="440" t="s">
        <v>281</v>
      </c>
      <c r="C34" s="37" t="s">
        <v>61</v>
      </c>
      <c r="D34" s="441" t="s">
        <v>256</v>
      </c>
      <c r="E34" s="34"/>
      <c r="F34" s="27"/>
      <c r="G34" s="4"/>
    </row>
    <row r="35" spans="1:13" ht="14.25" hidden="1" thickBot="1">
      <c r="A35" s="9"/>
      <c r="B35" s="28"/>
      <c r="C35" s="38"/>
      <c r="D35" s="38"/>
      <c r="E35" s="38"/>
      <c r="F35" s="39"/>
      <c r="G35" s="4"/>
    </row>
    <row r="36" spans="1:13" ht="14.25" hidden="1" thickBot="1">
      <c r="A36" s="9"/>
      <c r="F36" s="864"/>
      <c r="G36" s="4"/>
      <c r="I36" s="1" t="s">
        <v>84</v>
      </c>
      <c r="J36" s="1">
        <v>0</v>
      </c>
    </row>
    <row r="37" spans="1:13" ht="14.25" hidden="1" thickBot="1">
      <c r="A37" s="9"/>
      <c r="F37" s="864"/>
      <c r="G37" s="4"/>
      <c r="I37" s="1" t="s">
        <v>88</v>
      </c>
      <c r="J37" s="1">
        <v>1</v>
      </c>
    </row>
    <row r="38" spans="1:13" ht="14.25" thickBot="1">
      <c r="A38" s="9"/>
      <c r="B38" s="41" t="s">
        <v>83</v>
      </c>
      <c r="C38" s="42"/>
      <c r="D38" s="42"/>
      <c r="E38" s="42"/>
      <c r="F38" s="43"/>
      <c r="G38" s="4"/>
      <c r="I38" s="1" t="s">
        <v>87</v>
      </c>
      <c r="J38" s="1">
        <v>2</v>
      </c>
      <c r="L38" s="1" t="s">
        <v>85</v>
      </c>
      <c r="M38" s="1" t="s">
        <v>86</v>
      </c>
    </row>
    <row r="39" spans="1:13">
      <c r="A39" s="40"/>
      <c r="B39" s="58" t="s">
        <v>264</v>
      </c>
      <c r="C39" s="44" t="s">
        <v>297</v>
      </c>
      <c r="D39" s="26"/>
      <c r="E39" s="26"/>
      <c r="F39" s="432"/>
      <c r="G39" s="4"/>
      <c r="I39" s="1" t="s">
        <v>17</v>
      </c>
      <c r="J39" s="1">
        <v>2</v>
      </c>
      <c r="L39" s="1" t="s">
        <v>88</v>
      </c>
      <c r="M39" s="1" t="s">
        <v>14</v>
      </c>
    </row>
    <row r="40" spans="1:13">
      <c r="A40" s="40"/>
      <c r="B40" s="58" t="s">
        <v>265</v>
      </c>
      <c r="C40" s="25" t="s">
        <v>263</v>
      </c>
      <c r="D40" s="26"/>
      <c r="E40" s="26"/>
      <c r="F40" s="27"/>
      <c r="G40" s="4"/>
      <c r="I40" s="1" t="s">
        <v>254</v>
      </c>
      <c r="J40" s="1">
        <v>3</v>
      </c>
      <c r="L40" s="1" t="s">
        <v>87</v>
      </c>
      <c r="M40" s="1" t="s">
        <v>16</v>
      </c>
    </row>
    <row r="41" spans="1:13">
      <c r="A41" s="45"/>
      <c r="B41" s="58" t="s">
        <v>266</v>
      </c>
      <c r="C41" s="44" t="s">
        <v>297</v>
      </c>
      <c r="D41" s="26"/>
      <c r="E41" s="26"/>
      <c r="F41" s="27"/>
      <c r="G41" s="4"/>
      <c r="I41" s="1" t="s">
        <v>283</v>
      </c>
      <c r="J41" s="1">
        <v>4</v>
      </c>
      <c r="L41" s="1" t="s">
        <v>17</v>
      </c>
      <c r="M41" s="1"/>
    </row>
    <row r="42" spans="1:13" ht="14.25" thickBot="1">
      <c r="A42" s="45"/>
      <c r="B42" s="58" t="s">
        <v>267</v>
      </c>
      <c r="C42" s="25" t="s">
        <v>15</v>
      </c>
      <c r="D42" s="26"/>
      <c r="E42" s="26"/>
      <c r="F42" s="27"/>
      <c r="G42" s="4"/>
    </row>
    <row r="43" spans="1:13" ht="14.25" hidden="1" thickBot="1">
      <c r="A43" s="45"/>
      <c r="B43" s="61" t="s">
        <v>268</v>
      </c>
      <c r="C43" s="46" t="s">
        <v>18</v>
      </c>
      <c r="D43" s="47">
        <f>IF(C43=I43,L43,L48)</f>
        <v>0</v>
      </c>
      <c r="E43" s="26"/>
      <c r="F43" s="48"/>
      <c r="G43" s="4"/>
    </row>
    <row r="44" spans="1:13" ht="14.25" thickBot="1">
      <c r="A44" s="45"/>
      <c r="B44" s="41" t="s">
        <v>495</v>
      </c>
      <c r="C44" s="42"/>
      <c r="D44" s="42"/>
      <c r="E44" s="42"/>
      <c r="F44" s="43"/>
      <c r="G44" s="4"/>
    </row>
    <row r="45" spans="1:13">
      <c r="A45" s="45"/>
      <c r="B45" s="58" t="s">
        <v>359</v>
      </c>
      <c r="C45" s="695"/>
      <c r="D45" s="26"/>
      <c r="E45" s="26"/>
      <c r="F45" s="27"/>
      <c r="G45" s="4"/>
      <c r="I45" t="s">
        <v>521</v>
      </c>
      <c r="L45" t="s">
        <v>657</v>
      </c>
    </row>
    <row r="46" spans="1:13">
      <c r="A46" s="45"/>
      <c r="B46" s="58" t="s">
        <v>358</v>
      </c>
      <c r="C46" s="550"/>
      <c r="D46" s="26"/>
      <c r="E46" s="26"/>
      <c r="F46" s="27"/>
      <c r="G46" s="4"/>
      <c r="I46" t="s">
        <v>659</v>
      </c>
      <c r="L46" t="s">
        <v>658</v>
      </c>
    </row>
    <row r="47" spans="1:13">
      <c r="A47" s="45"/>
      <c r="B47" s="58"/>
      <c r="C47" s="59"/>
      <c r="D47" s="462"/>
      <c r="E47" s="26"/>
      <c r="F47" s="27"/>
      <c r="G47" s="4"/>
      <c r="I47" t="s">
        <v>660</v>
      </c>
    </row>
    <row r="48" spans="1:13" hidden="1">
      <c r="A48" s="45"/>
      <c r="B48" s="58"/>
      <c r="C48" s="59"/>
      <c r="D48" s="462"/>
      <c r="E48" s="26"/>
      <c r="F48" s="27"/>
      <c r="G48" s="4"/>
      <c r="I48" t="s">
        <v>520</v>
      </c>
    </row>
    <row r="49" spans="1:18" ht="13.5" hidden="1" customHeight="1">
      <c r="A49" s="45"/>
      <c r="B49" s="50" t="s">
        <v>19</v>
      </c>
      <c r="C49" s="51"/>
      <c r="D49" s="51"/>
      <c r="E49" s="51"/>
      <c r="F49" s="52"/>
      <c r="G49" s="4"/>
    </row>
    <row r="50" spans="1:18" ht="13.5" hidden="1" customHeight="1" thickBot="1">
      <c r="A50" s="45"/>
      <c r="B50" s="21" t="s">
        <v>20</v>
      </c>
      <c r="C50" s="53"/>
      <c r="D50" s="54"/>
      <c r="E50" s="54"/>
      <c r="F50" s="55"/>
      <c r="G50" s="4"/>
      <c r="J50" s="1" t="s">
        <v>68</v>
      </c>
      <c r="K50" s="1" t="s">
        <v>130</v>
      </c>
      <c r="L50" s="1" t="s">
        <v>69</v>
      </c>
    </row>
    <row r="51" spans="1:18" ht="13.5" hidden="1" customHeight="1">
      <c r="A51" s="45"/>
      <c r="B51" s="56" t="s">
        <v>70</v>
      </c>
      <c r="C51" s="35">
        <f>E51+E52</f>
        <v>30000</v>
      </c>
      <c r="D51" s="34" t="s">
        <v>215</v>
      </c>
      <c r="E51" s="57">
        <v>30000</v>
      </c>
      <c r="F51" s="432" t="s">
        <v>203</v>
      </c>
      <c r="G51" s="4"/>
      <c r="I51" s="1"/>
      <c r="J51" s="1">
        <f>C51</f>
        <v>30000</v>
      </c>
      <c r="K51" s="1">
        <f>J51/$J$70</f>
        <v>1</v>
      </c>
      <c r="L51" s="1"/>
      <c r="N51" s="1">
        <f>IF(J51=0,0,RANK(J51,$J$51:$J$68))</f>
        <v>1</v>
      </c>
      <c r="O51" s="1" t="str">
        <f t="shared" ref="O51:O68" si="0">IF(AND(0&lt;N51,N51&lt;4),I52&amp;",","")</f>
        <v>事務所,</v>
      </c>
      <c r="P51" s="420" t="s">
        <v>143</v>
      </c>
      <c r="Q51" s="421" t="s">
        <v>21</v>
      </c>
      <c r="R51" s="433">
        <f>E51</f>
        <v>30000</v>
      </c>
    </row>
    <row r="52" spans="1:18" ht="13.5" hidden="1" customHeight="1">
      <c r="A52" s="45"/>
      <c r="B52" s="58"/>
      <c r="C52" s="34"/>
      <c r="D52" s="431" t="s">
        <v>207</v>
      </c>
      <c r="E52" s="57"/>
      <c r="F52" s="432" t="s">
        <v>211</v>
      </c>
      <c r="G52" s="4"/>
      <c r="I52" s="1" t="s">
        <v>21</v>
      </c>
      <c r="J52" s="1"/>
      <c r="K52" s="1"/>
      <c r="L52" s="1"/>
      <c r="N52" s="1">
        <f t="shared" ref="N52:N68" si="1">IF(J52=0,0,RANK(J52,$J$51:$J$68))</f>
        <v>0</v>
      </c>
      <c r="O52" s="1" t="str">
        <f t="shared" si="0"/>
        <v/>
      </c>
      <c r="P52" s="422"/>
      <c r="Q52" s="421" t="s">
        <v>189</v>
      </c>
      <c r="R52" s="433">
        <f t="shared" ref="R52:R63" si="2">E52</f>
        <v>0</v>
      </c>
    </row>
    <row r="53" spans="1:18" ht="13.5" hidden="1" customHeight="1">
      <c r="A53" s="45"/>
      <c r="B53" s="58" t="s">
        <v>22</v>
      </c>
      <c r="C53" s="35">
        <f>SUM(E53:E57)</f>
        <v>0</v>
      </c>
      <c r="D53" s="34" t="s">
        <v>214</v>
      </c>
      <c r="E53" s="57"/>
      <c r="F53" s="432" t="s">
        <v>211</v>
      </c>
      <c r="G53" s="4"/>
      <c r="I53" s="1"/>
      <c r="J53" s="435">
        <f>C53</f>
        <v>0</v>
      </c>
      <c r="K53" s="1">
        <f>J53/$J$70</f>
        <v>0</v>
      </c>
      <c r="L53" s="1"/>
      <c r="N53" s="1">
        <f t="shared" si="1"/>
        <v>0</v>
      </c>
      <c r="O53" s="1" t="str">
        <f t="shared" si="0"/>
        <v/>
      </c>
      <c r="P53" s="424" t="s">
        <v>193</v>
      </c>
      <c r="Q53" s="421" t="s">
        <v>194</v>
      </c>
      <c r="R53" s="433">
        <f t="shared" si="2"/>
        <v>0</v>
      </c>
    </row>
    <row r="54" spans="1:18" ht="13.5" hidden="1" customHeight="1">
      <c r="A54" s="45"/>
      <c r="B54" s="58"/>
      <c r="C54" s="34"/>
      <c r="D54" s="431" t="s">
        <v>204</v>
      </c>
      <c r="E54" s="57"/>
      <c r="F54" s="432" t="s">
        <v>211</v>
      </c>
      <c r="G54" s="4"/>
      <c r="I54" s="1" t="s">
        <v>23</v>
      </c>
      <c r="J54" s="455"/>
      <c r="K54" s="1"/>
      <c r="L54" s="1"/>
      <c r="N54" s="1">
        <f t="shared" si="1"/>
        <v>0</v>
      </c>
      <c r="O54" s="1" t="str">
        <f t="shared" si="0"/>
        <v/>
      </c>
      <c r="P54" s="424"/>
      <c r="Q54" s="421" t="s">
        <v>128</v>
      </c>
      <c r="R54" s="433">
        <f t="shared" si="2"/>
        <v>0</v>
      </c>
    </row>
    <row r="55" spans="1:18" ht="13.5" hidden="1" customHeight="1">
      <c r="A55" s="45"/>
      <c r="B55" s="58"/>
      <c r="C55" s="34"/>
      <c r="D55" s="431" t="s">
        <v>212</v>
      </c>
      <c r="E55" s="57"/>
      <c r="F55" s="432" t="s">
        <v>211</v>
      </c>
      <c r="G55" s="4"/>
      <c r="I55" s="1"/>
      <c r="J55" s="1"/>
      <c r="K55" s="1"/>
      <c r="L55" s="1"/>
      <c r="N55" s="1">
        <f t="shared" si="1"/>
        <v>0</v>
      </c>
      <c r="O55" s="1" t="str">
        <f t="shared" si="0"/>
        <v/>
      </c>
      <c r="P55" s="424"/>
      <c r="Q55" s="421" t="s">
        <v>129</v>
      </c>
      <c r="R55" s="433">
        <f t="shared" si="2"/>
        <v>0</v>
      </c>
    </row>
    <row r="56" spans="1:18" ht="13.5" hidden="1" customHeight="1">
      <c r="A56" s="45"/>
      <c r="B56" s="58"/>
      <c r="C56" s="34"/>
      <c r="D56" s="431" t="s">
        <v>205</v>
      </c>
      <c r="E56" s="57"/>
      <c r="F56" s="432" t="s">
        <v>211</v>
      </c>
      <c r="G56" s="4"/>
      <c r="I56" s="1"/>
      <c r="J56" s="1"/>
      <c r="K56" s="1"/>
      <c r="L56" s="1"/>
      <c r="N56" s="1">
        <f t="shared" si="1"/>
        <v>0</v>
      </c>
      <c r="O56" s="1" t="str">
        <f t="shared" si="0"/>
        <v/>
      </c>
      <c r="P56" s="424"/>
      <c r="Q56" s="421" t="s">
        <v>195</v>
      </c>
      <c r="R56" s="433">
        <f t="shared" si="2"/>
        <v>0</v>
      </c>
    </row>
    <row r="57" spans="1:18" ht="13.5" hidden="1" customHeight="1">
      <c r="A57" s="45"/>
      <c r="B57" s="58"/>
      <c r="C57" s="34"/>
      <c r="D57" s="431" t="s">
        <v>206</v>
      </c>
      <c r="E57" s="57"/>
      <c r="F57" s="432" t="s">
        <v>211</v>
      </c>
      <c r="G57" s="4"/>
      <c r="I57" s="1"/>
      <c r="J57" s="1"/>
      <c r="K57" s="1"/>
      <c r="L57" s="1"/>
      <c r="N57" s="1">
        <f t="shared" si="1"/>
        <v>0</v>
      </c>
      <c r="O57" s="1" t="str">
        <f t="shared" si="0"/>
        <v/>
      </c>
      <c r="P57" s="422"/>
      <c r="Q57" s="421" t="s">
        <v>196</v>
      </c>
      <c r="R57" s="433">
        <f t="shared" si="2"/>
        <v>0</v>
      </c>
    </row>
    <row r="58" spans="1:18" ht="13.5" hidden="1" customHeight="1">
      <c r="A58" s="45"/>
      <c r="B58" s="58" t="s">
        <v>24</v>
      </c>
      <c r="C58" s="35">
        <f>E58+E59</f>
        <v>0</v>
      </c>
      <c r="D58" s="34" t="s">
        <v>216</v>
      </c>
      <c r="E58" s="57"/>
      <c r="F58" s="432" t="s">
        <v>211</v>
      </c>
      <c r="G58" s="4"/>
      <c r="I58" s="1"/>
      <c r="J58" s="435">
        <f>C58</f>
        <v>0</v>
      </c>
      <c r="K58" s="1">
        <f>J58/$J$70</f>
        <v>0</v>
      </c>
      <c r="L58" s="1"/>
      <c r="N58" s="1">
        <f t="shared" si="1"/>
        <v>0</v>
      </c>
      <c r="O58" s="1" t="str">
        <f t="shared" si="0"/>
        <v/>
      </c>
      <c r="P58" s="420" t="s">
        <v>190</v>
      </c>
      <c r="Q58" s="421" t="s">
        <v>157</v>
      </c>
      <c r="R58" s="433">
        <f t="shared" si="2"/>
        <v>0</v>
      </c>
    </row>
    <row r="59" spans="1:18" ht="13.5" hidden="1" customHeight="1">
      <c r="A59" s="45"/>
      <c r="B59" s="58"/>
      <c r="C59" s="34"/>
      <c r="D59" s="431" t="s">
        <v>208</v>
      </c>
      <c r="E59" s="57"/>
      <c r="F59" s="432" t="s">
        <v>211</v>
      </c>
      <c r="G59" s="4"/>
      <c r="I59" s="1" t="s">
        <v>25</v>
      </c>
      <c r="J59" s="1"/>
      <c r="K59" s="1"/>
      <c r="L59" s="1"/>
      <c r="N59" s="1">
        <f t="shared" si="1"/>
        <v>0</v>
      </c>
      <c r="O59" s="1" t="str">
        <f t="shared" si="0"/>
        <v/>
      </c>
      <c r="P59" s="422"/>
      <c r="Q59" s="421" t="s">
        <v>191</v>
      </c>
      <c r="R59" s="433">
        <f t="shared" si="2"/>
        <v>0</v>
      </c>
    </row>
    <row r="60" spans="1:18" ht="13.5" hidden="1" customHeight="1">
      <c r="A60" s="45"/>
      <c r="B60" s="58" t="s">
        <v>26</v>
      </c>
      <c r="C60" s="57"/>
      <c r="D60" s="34" t="s">
        <v>71</v>
      </c>
      <c r="E60" s="34"/>
      <c r="F60" s="432"/>
      <c r="G60" s="4"/>
      <c r="I60" s="1"/>
      <c r="J60" s="455">
        <f>C60</f>
        <v>0</v>
      </c>
      <c r="K60" s="1">
        <f>J60/$J$70</f>
        <v>0</v>
      </c>
      <c r="L60" s="1"/>
      <c r="N60" s="1">
        <f t="shared" si="1"/>
        <v>0</v>
      </c>
      <c r="O60" s="1" t="str">
        <f t="shared" si="0"/>
        <v/>
      </c>
      <c r="P60" s="421" t="s">
        <v>27</v>
      </c>
      <c r="Q60" s="423"/>
      <c r="R60" s="433">
        <f>C60</f>
        <v>0</v>
      </c>
    </row>
    <row r="61" spans="1:18" ht="13.5" hidden="1" customHeight="1">
      <c r="A61" s="45"/>
      <c r="B61" s="58" t="s">
        <v>28</v>
      </c>
      <c r="C61" s="35">
        <f>E61+E62+E63</f>
        <v>0</v>
      </c>
      <c r="D61" s="34" t="s">
        <v>217</v>
      </c>
      <c r="E61" s="57"/>
      <c r="F61" s="432" t="s">
        <v>211</v>
      </c>
      <c r="G61" s="4"/>
      <c r="I61" s="1" t="s">
        <v>27</v>
      </c>
      <c r="J61" s="1">
        <f>C61</f>
        <v>0</v>
      </c>
      <c r="K61" s="1">
        <f>J61/$J$70</f>
        <v>0</v>
      </c>
      <c r="L61" s="1"/>
      <c r="N61" s="1">
        <f t="shared" si="1"/>
        <v>0</v>
      </c>
      <c r="O61" s="1" t="str">
        <f t="shared" si="0"/>
        <v/>
      </c>
      <c r="P61" s="420" t="s">
        <v>197</v>
      </c>
      <c r="Q61" s="421" t="s">
        <v>198</v>
      </c>
      <c r="R61" s="433">
        <f t="shared" si="2"/>
        <v>0</v>
      </c>
    </row>
    <row r="62" spans="1:18" ht="13.5" hidden="1" customHeight="1">
      <c r="A62" s="45"/>
      <c r="B62" s="58"/>
      <c r="C62" s="34"/>
      <c r="D62" s="431" t="s">
        <v>209</v>
      </c>
      <c r="E62" s="57"/>
      <c r="F62" s="432" t="s">
        <v>211</v>
      </c>
      <c r="G62" s="4"/>
      <c r="I62" s="1" t="s">
        <v>29</v>
      </c>
      <c r="J62" s="1"/>
      <c r="K62" s="1"/>
      <c r="L62" s="1"/>
      <c r="N62" s="1">
        <f t="shared" si="1"/>
        <v>0</v>
      </c>
      <c r="O62" s="1" t="str">
        <f t="shared" si="0"/>
        <v/>
      </c>
      <c r="P62" s="424"/>
      <c r="Q62" s="421" t="s">
        <v>199</v>
      </c>
      <c r="R62" s="433">
        <f t="shared" si="2"/>
        <v>0</v>
      </c>
    </row>
    <row r="63" spans="1:18" ht="13.5" hidden="1" customHeight="1">
      <c r="A63" s="45"/>
      <c r="B63" s="58"/>
      <c r="C63" s="34"/>
      <c r="D63" s="431" t="s">
        <v>210</v>
      </c>
      <c r="E63" s="57"/>
      <c r="F63" s="432" t="s">
        <v>211</v>
      </c>
      <c r="G63" s="4"/>
      <c r="I63" s="1"/>
      <c r="J63" s="1"/>
      <c r="K63" s="1"/>
      <c r="L63" s="1"/>
      <c r="N63" s="1">
        <f t="shared" si="1"/>
        <v>0</v>
      </c>
      <c r="O63" s="1" t="str">
        <f t="shared" si="0"/>
        <v/>
      </c>
      <c r="P63" s="424"/>
      <c r="Q63" s="418" t="s">
        <v>200</v>
      </c>
      <c r="R63" s="433">
        <f t="shared" si="2"/>
        <v>0</v>
      </c>
    </row>
    <row r="64" spans="1:18" ht="13.5" hidden="1" customHeight="1">
      <c r="A64" s="45"/>
      <c r="B64" s="58" t="s">
        <v>30</v>
      </c>
      <c r="C64" s="57"/>
      <c r="D64" s="434" t="s">
        <v>249</v>
      </c>
      <c r="E64" s="57"/>
      <c r="F64" s="432" t="s">
        <v>62</v>
      </c>
      <c r="G64" s="4"/>
      <c r="I64" s="1"/>
      <c r="J64" s="1">
        <f>C64</f>
        <v>0</v>
      </c>
      <c r="K64" s="1">
        <f>J64/$J$70</f>
        <v>0</v>
      </c>
      <c r="L64" s="1"/>
      <c r="N64" s="1">
        <f t="shared" si="1"/>
        <v>0</v>
      </c>
      <c r="O64" s="1" t="str">
        <f t="shared" si="0"/>
        <v/>
      </c>
      <c r="P64" s="421" t="s">
        <v>36</v>
      </c>
      <c r="Q64" s="423"/>
      <c r="R64" s="433">
        <f>C64</f>
        <v>0</v>
      </c>
    </row>
    <row r="65" spans="1:18" ht="13.5" hidden="1" customHeight="1">
      <c r="A65" s="45"/>
      <c r="B65" s="58" t="s">
        <v>32</v>
      </c>
      <c r="C65" s="57"/>
      <c r="D65" s="34" t="s">
        <v>71</v>
      </c>
      <c r="E65" s="34"/>
      <c r="F65" s="432"/>
      <c r="G65" s="4"/>
      <c r="I65" s="1" t="s">
        <v>36</v>
      </c>
      <c r="J65" s="1">
        <f>C65</f>
        <v>0</v>
      </c>
      <c r="K65" s="1">
        <f>J65/$J$70</f>
        <v>0</v>
      </c>
      <c r="L65" s="1">
        <f>J65*F72</f>
        <v>0</v>
      </c>
      <c r="N65" s="1">
        <f t="shared" si="1"/>
        <v>0</v>
      </c>
      <c r="O65" s="1" t="str">
        <f t="shared" si="0"/>
        <v/>
      </c>
      <c r="P65" s="421" t="s">
        <v>31</v>
      </c>
      <c r="Q65" s="423"/>
      <c r="R65" s="433">
        <f>C65</f>
        <v>0</v>
      </c>
    </row>
    <row r="66" spans="1:18" ht="13.5" hidden="1" customHeight="1">
      <c r="A66" s="45"/>
      <c r="B66" s="58" t="s">
        <v>33</v>
      </c>
      <c r="C66" s="57"/>
      <c r="D66" s="34" t="s">
        <v>71</v>
      </c>
      <c r="E66" s="34"/>
      <c r="F66" s="432"/>
      <c r="G66" s="4"/>
      <c r="I66" s="1" t="s">
        <v>31</v>
      </c>
      <c r="J66" s="1">
        <f>C66</f>
        <v>0</v>
      </c>
      <c r="K66" s="1">
        <f>J66/$J$70</f>
        <v>0</v>
      </c>
      <c r="L66" s="1">
        <f>J66*F73</f>
        <v>0</v>
      </c>
      <c r="N66" s="1">
        <f t="shared" si="1"/>
        <v>0</v>
      </c>
      <c r="O66" s="1" t="str">
        <f t="shared" si="0"/>
        <v/>
      </c>
      <c r="P66" s="421" t="s">
        <v>192</v>
      </c>
      <c r="Q66" s="423"/>
      <c r="R66" s="433">
        <f>C66</f>
        <v>0</v>
      </c>
    </row>
    <row r="67" spans="1:18" ht="13.5" hidden="1" customHeight="1">
      <c r="A67" s="45"/>
      <c r="B67" s="58" t="s">
        <v>165</v>
      </c>
      <c r="C67" s="35">
        <f>SUM(C51:C66)</f>
        <v>30000</v>
      </c>
      <c r="D67" s="34" t="s">
        <v>71</v>
      </c>
      <c r="E67" s="34"/>
      <c r="F67" s="432"/>
      <c r="G67" s="4"/>
      <c r="I67" s="1" t="s">
        <v>72</v>
      </c>
      <c r="J67" s="1"/>
      <c r="K67" s="1"/>
      <c r="L67" s="1"/>
      <c r="N67" s="1">
        <f t="shared" si="1"/>
        <v>0</v>
      </c>
      <c r="O67" s="1" t="str">
        <f t="shared" si="0"/>
        <v/>
      </c>
      <c r="P67" s="427"/>
      <c r="Q67" s="419"/>
    </row>
    <row r="68" spans="1:18" ht="13.5" hidden="1" customHeight="1">
      <c r="A68" s="45"/>
      <c r="B68" s="58" t="s">
        <v>35</v>
      </c>
      <c r="C68" s="35">
        <f>E68+E69</f>
        <v>0</v>
      </c>
      <c r="D68" s="34" t="s">
        <v>218</v>
      </c>
      <c r="E68" s="57"/>
      <c r="F68" s="432" t="s">
        <v>211</v>
      </c>
      <c r="G68" s="4"/>
      <c r="I68" s="1"/>
      <c r="J68" s="1">
        <f>C68</f>
        <v>0</v>
      </c>
      <c r="K68" s="1">
        <f>J68/$J$70</f>
        <v>0</v>
      </c>
      <c r="L68" s="455">
        <f>E68</f>
        <v>0</v>
      </c>
      <c r="N68" s="1">
        <f t="shared" si="1"/>
        <v>0</v>
      </c>
      <c r="O68" s="1" t="str">
        <f t="shared" si="0"/>
        <v/>
      </c>
      <c r="P68" s="2" t="s">
        <v>166</v>
      </c>
      <c r="Q68" s="425" t="s">
        <v>202</v>
      </c>
      <c r="R68" s="433">
        <f>E68</f>
        <v>0</v>
      </c>
    </row>
    <row r="69" spans="1:18" ht="13.5" hidden="1" customHeight="1">
      <c r="A69" s="45"/>
      <c r="B69" s="416"/>
      <c r="C69" s="34"/>
      <c r="D69" s="431" t="s">
        <v>213</v>
      </c>
      <c r="E69" s="57"/>
      <c r="F69" s="432" t="s">
        <v>211</v>
      </c>
      <c r="G69" s="4"/>
      <c r="I69" s="1" t="s">
        <v>34</v>
      </c>
      <c r="J69" s="1"/>
      <c r="K69" s="1"/>
      <c r="L69" s="1"/>
      <c r="N69" s="1"/>
      <c r="O69" s="1"/>
      <c r="P69" s="426"/>
      <c r="Q69" s="421" t="s">
        <v>40</v>
      </c>
      <c r="R69" s="433">
        <f>E69</f>
        <v>0</v>
      </c>
    </row>
    <row r="70" spans="1:18" ht="13.5" hidden="1" customHeight="1">
      <c r="A70" s="45"/>
      <c r="B70" s="416"/>
      <c r="C70" s="34"/>
      <c r="D70" s="34"/>
      <c r="E70" s="34"/>
      <c r="F70" s="27"/>
      <c r="G70" s="4"/>
      <c r="I70" s="1"/>
      <c r="J70" s="1">
        <f>SUM(J51:J68)</f>
        <v>30000</v>
      </c>
      <c r="K70" s="1">
        <f>J70/$J$70</f>
        <v>1</v>
      </c>
      <c r="L70" s="1">
        <f>SUM(L51:L68)</f>
        <v>0</v>
      </c>
      <c r="O70" s="1" t="str">
        <f>IF(MAX(N51:N67)&gt;3,"等","")</f>
        <v/>
      </c>
    </row>
    <row r="71" spans="1:18" ht="13.5" hidden="1" customHeight="1">
      <c r="A71" s="45"/>
      <c r="B71" s="21" t="s">
        <v>37</v>
      </c>
      <c r="C71" s="53"/>
      <c r="D71" s="429"/>
      <c r="E71" s="54"/>
      <c r="F71" s="55"/>
      <c r="G71" s="4"/>
      <c r="I71" s="1" t="s">
        <v>38</v>
      </c>
      <c r="O71" s="1" t="str">
        <f>O51&amp;O53&amp;O58&amp;O60&amp;O61&amp;O65&amp;O66&amp;O68&amp;O64&amp;O70</f>
        <v>事務所,</v>
      </c>
    </row>
    <row r="72" spans="1:18" ht="13.5" hidden="1" customHeight="1">
      <c r="A72" s="45"/>
      <c r="B72" s="58" t="s">
        <v>141</v>
      </c>
      <c r="C72" s="59"/>
      <c r="D72" s="59"/>
      <c r="E72" s="59"/>
      <c r="F72" s="60"/>
      <c r="G72" s="4"/>
    </row>
    <row r="73" spans="1:18" ht="13.5" hidden="1" customHeight="1">
      <c r="A73" s="45"/>
      <c r="B73" s="58" t="s">
        <v>142</v>
      </c>
      <c r="C73" s="59"/>
      <c r="D73" s="59"/>
      <c r="E73" s="59"/>
      <c r="F73" s="60"/>
      <c r="G73" s="4"/>
    </row>
    <row r="74" spans="1:18" ht="13.5" hidden="1" customHeight="1">
      <c r="A74" s="45"/>
      <c r="B74" s="58" t="s">
        <v>224</v>
      </c>
      <c r="C74" s="415"/>
      <c r="D74" s="415"/>
      <c r="E74" s="415"/>
      <c r="F74" s="417">
        <f>IF(C68=0,0,E68/C68)</f>
        <v>0</v>
      </c>
      <c r="G74" s="4"/>
    </row>
    <row r="75" spans="1:18" ht="14.25" hidden="1" customHeight="1" thickBot="1">
      <c r="A75" s="59"/>
      <c r="B75" s="61"/>
      <c r="C75" s="62"/>
      <c r="D75" s="62"/>
      <c r="E75" s="62"/>
      <c r="F75" s="63"/>
      <c r="G75" s="59"/>
    </row>
    <row r="76" spans="1:18" ht="13.5" hidden="1" customHeight="1" thickBot="1">
      <c r="A76" s="59"/>
      <c r="B76" s="59"/>
      <c r="C76" s="59"/>
      <c r="D76" s="59"/>
      <c r="E76" s="59"/>
      <c r="F76" s="865"/>
      <c r="G76" s="59"/>
    </row>
    <row r="77" spans="1:18" ht="14.25" hidden="1" customHeight="1" thickBot="1">
      <c r="A77" s="45"/>
      <c r="B77" s="64" t="s">
        <v>158</v>
      </c>
      <c r="C77" s="65"/>
      <c r="D77" s="65"/>
      <c r="E77" s="66"/>
      <c r="F77" s="67"/>
      <c r="G77" s="4"/>
    </row>
    <row r="78" spans="1:18" ht="14.25" hidden="1" customHeight="1" thickBot="1">
      <c r="A78" s="45"/>
      <c r="B78" s="68" t="s">
        <v>159</v>
      </c>
      <c r="C78" t="s">
        <v>160</v>
      </c>
      <c r="D78" s="430"/>
      <c r="E78" s="69"/>
      <c r="F78" s="70"/>
      <c r="G78" s="4"/>
    </row>
    <row r="79" spans="1:18" ht="14.25" hidden="1" customHeight="1">
      <c r="A79" s="45"/>
      <c r="B79" s="71" t="s">
        <v>161</v>
      </c>
      <c r="C79" t="s">
        <v>162</v>
      </c>
      <c r="D79" s="72"/>
      <c r="E79" t="s">
        <v>354</v>
      </c>
      <c r="F79" s="73"/>
      <c r="G79" s="4"/>
    </row>
    <row r="80" spans="1:18" ht="14.25" hidden="1" customHeight="1" thickBot="1">
      <c r="A80" s="9"/>
      <c r="B80" s="68" t="s">
        <v>163</v>
      </c>
      <c r="C80" t="s">
        <v>11</v>
      </c>
      <c r="D80" s="74"/>
      <c r="E80" t="s">
        <v>12</v>
      </c>
      <c r="F80" s="75"/>
      <c r="G80" s="4"/>
    </row>
    <row r="81" spans="1:9" ht="13.5" hidden="1" customHeight="1">
      <c r="A81" s="45"/>
      <c r="B81" s="45"/>
      <c r="C81" s="45"/>
      <c r="D81" s="45"/>
      <c r="E81" s="45"/>
      <c r="F81" s="866"/>
      <c r="G81" s="4"/>
    </row>
    <row r="82" spans="1:9" ht="15" customHeight="1">
      <c r="A82" s="45"/>
      <c r="B82" s="58"/>
      <c r="C82" s="59"/>
      <c r="D82" s="462"/>
      <c r="E82" s="26"/>
      <c r="F82" s="27"/>
      <c r="G82" s="4"/>
    </row>
    <row r="83" spans="1:9" ht="15" customHeight="1">
      <c r="A83" s="45"/>
      <c r="B83" s="58"/>
      <c r="C83" s="59"/>
      <c r="D83" s="462"/>
      <c r="E83" s="26"/>
      <c r="F83" s="27"/>
      <c r="G83" s="4"/>
    </row>
    <row r="84" spans="1:9" ht="15" customHeight="1">
      <c r="A84" s="45"/>
      <c r="B84" s="58"/>
      <c r="C84" s="59"/>
      <c r="D84" s="462"/>
      <c r="E84" s="26"/>
      <c r="F84" s="27"/>
      <c r="G84" s="4"/>
      <c r="I84" s="1" t="s">
        <v>355</v>
      </c>
    </row>
    <row r="85" spans="1:9" ht="15" customHeight="1">
      <c r="A85" s="45"/>
      <c r="B85" s="58"/>
      <c r="C85" s="59"/>
      <c r="D85" s="462"/>
      <c r="E85" s="26"/>
      <c r="F85" s="27"/>
      <c r="G85" s="4"/>
      <c r="I85" s="1" t="s">
        <v>356</v>
      </c>
    </row>
    <row r="86" spans="1:9" ht="15" customHeight="1">
      <c r="A86" s="45"/>
      <c r="B86" s="58"/>
      <c r="C86" s="59"/>
      <c r="D86" s="462"/>
      <c r="E86" s="26"/>
      <c r="F86" s="27"/>
      <c r="G86" s="4"/>
      <c r="I86" s="1" t="s">
        <v>357</v>
      </c>
    </row>
    <row r="87" spans="1:9" ht="15" customHeight="1">
      <c r="A87" s="45"/>
      <c r="B87" s="58"/>
      <c r="C87" s="59"/>
      <c r="D87" s="462"/>
      <c r="E87" s="26"/>
      <c r="F87" s="27"/>
      <c r="G87" s="4"/>
    </row>
    <row r="88" spans="1:9" ht="15" customHeight="1">
      <c r="A88" s="45"/>
      <c r="B88" s="58"/>
      <c r="C88" s="59"/>
      <c r="D88" s="462"/>
      <c r="E88" s="26"/>
      <c r="F88" s="27"/>
      <c r="G88" s="4"/>
    </row>
    <row r="89" spans="1:9" ht="15" customHeight="1">
      <c r="A89" s="45"/>
      <c r="B89" s="58"/>
      <c r="C89" s="59"/>
      <c r="D89" s="462"/>
      <c r="E89" s="26"/>
      <c r="F89" s="27"/>
      <c r="G89" s="4"/>
    </row>
    <row r="90" spans="1:9" ht="15" customHeight="1">
      <c r="A90" s="45"/>
      <c r="B90" s="58"/>
      <c r="C90" s="59"/>
      <c r="D90" s="462"/>
      <c r="E90" s="26"/>
      <c r="F90" s="27"/>
      <c r="G90" s="4"/>
    </row>
    <row r="91" spans="1:9" ht="15" customHeight="1">
      <c r="A91" s="45"/>
      <c r="B91" s="58"/>
      <c r="C91" s="59"/>
      <c r="D91" s="462"/>
      <c r="E91" s="26"/>
      <c r="F91" s="27"/>
      <c r="G91" s="4"/>
    </row>
    <row r="92" spans="1:9" ht="15" customHeight="1" thickBot="1">
      <c r="A92" s="45"/>
      <c r="B92" s="58"/>
      <c r="C92" s="59"/>
      <c r="D92" s="462"/>
      <c r="E92" s="26"/>
      <c r="F92" s="867"/>
      <c r="G92" s="4"/>
    </row>
    <row r="93" spans="1:9">
      <c r="A93" s="45"/>
      <c r="B93" s="49"/>
      <c r="C93" s="49"/>
      <c r="D93" s="49"/>
      <c r="E93" s="49"/>
      <c r="F93" s="49"/>
      <c r="G93" s="4"/>
    </row>
  </sheetData>
  <sheetProtection algorithmName="SHA-512" hashValue="YUVR2yl4Oz9Ag5eQnwZfwAYz/D6qc2WPK4IyRMfFXu8jJZHlQ04SMt+l/xx/aG2RP6A+lH337DZT93sJOtxF6Q==" saltValue="IYwI7/oqFnz02gz495kjFQ==" spinCount="100000" sheet="1" objects="1" scenarios="1"/>
  <mergeCells count="6">
    <mergeCell ref="C11:E11"/>
    <mergeCell ref="C27:E27"/>
    <mergeCell ref="C12:E12"/>
    <mergeCell ref="C14:E14"/>
    <mergeCell ref="C20:E20"/>
    <mergeCell ref="C21:E21"/>
  </mergeCells>
  <phoneticPr fontId="23"/>
  <conditionalFormatting sqref="C11:C19">
    <cfRule type="cellIs" dxfId="172" priority="2" stopIfTrue="1" operator="equal">
      <formula>0</formula>
    </cfRule>
  </conditionalFormatting>
  <conditionalFormatting sqref="C26">
    <cfRule type="cellIs" dxfId="171" priority="11" stopIfTrue="1" operator="equal">
      <formula>0</formula>
    </cfRule>
  </conditionalFormatting>
  <conditionalFormatting sqref="C29:C30">
    <cfRule type="cellIs" dxfId="170" priority="8" stopIfTrue="1" operator="equal">
      <formula>0</formula>
    </cfRule>
  </conditionalFormatting>
  <conditionalFormatting sqref="C32:C34">
    <cfRule type="cellIs" dxfId="169" priority="12" stopIfTrue="1" operator="equal">
      <formula>0</formula>
    </cfRule>
  </conditionalFormatting>
  <conditionalFormatting sqref="C39:C41">
    <cfRule type="cellIs" dxfId="168" priority="7" stopIfTrue="1" operator="equal">
      <formula>0</formula>
    </cfRule>
  </conditionalFormatting>
  <conditionalFormatting sqref="C45:C46">
    <cfRule type="cellIs" dxfId="167" priority="3" stopIfTrue="1" operator="equal">
      <formula>0</formula>
    </cfRule>
  </conditionalFormatting>
  <conditionalFormatting sqref="C27:E27">
    <cfRule type="cellIs" dxfId="166" priority="10" stopIfTrue="1" operator="equal">
      <formula>0</formula>
    </cfRule>
  </conditionalFormatting>
  <conditionalFormatting sqref="E61:E64">
    <cfRule type="cellIs" dxfId="165" priority="13" stopIfTrue="1" operator="equal">
      <formula>0</formula>
    </cfRule>
  </conditionalFormatting>
  <conditionalFormatting sqref="F12:F13 D12:E14 F15 C20:E20 C22:C23 E51:E59 C60 C64:C66 E68:E69">
    <cfRule type="cellIs" dxfId="164" priority="14" stopIfTrue="1" operator="equal">
      <formula>0</formula>
    </cfRule>
  </conditionalFormatting>
  <conditionalFormatting sqref="F33">
    <cfRule type="cellIs" dxfId="163" priority="1" stopIfTrue="1" operator="equal">
      <formula>0</formula>
    </cfRule>
  </conditionalFormatting>
  <conditionalFormatting sqref="F72">
    <cfRule type="expression" dxfId="162" priority="16" stopIfTrue="1">
      <formula>AND($C$65&gt;0,F72=0)</formula>
    </cfRule>
  </conditionalFormatting>
  <conditionalFormatting sqref="F73">
    <cfRule type="expression" dxfId="161" priority="15" stopIfTrue="1">
      <formula>AND($C$66&gt;0,F73=0)</formula>
    </cfRule>
  </conditionalFormatting>
  <dataValidations count="9">
    <dataValidation type="list" allowBlank="1" showInputMessage="1" showErrorMessage="1" sqref="F15" xr:uid="{00000000-0002-0000-0100-000000000000}">
      <formula1>"予定,竣工"</formula1>
    </dataValidation>
    <dataValidation type="decimal" allowBlank="1" showInputMessage="1" showErrorMessage="1" sqref="F72:F73" xr:uid="{00000000-0002-0000-0100-000001000000}">
      <formula1>0</formula1>
      <formula2>1</formula2>
    </dataValidation>
    <dataValidation type="list" allowBlank="1" showInputMessage="1" showErrorMessage="1" sqref="C23" xr:uid="{00000000-0002-0000-0100-000002000000}">
      <formula1>$I$23:$L$23</formula1>
    </dataValidation>
    <dataValidation type="list" allowBlank="1" showInputMessage="1" showErrorMessage="1" sqref="F13" xr:uid="{00000000-0002-0000-0100-000003000000}">
      <formula1>$I$11:$I$16</formula1>
    </dataValidation>
    <dataValidation type="list" allowBlank="1" showInputMessage="1" showErrorMessage="1" sqref="F12" xr:uid="{00000000-0002-0000-0100-000004000000}">
      <formula1>$I$11:$I$18</formula1>
    </dataValidation>
    <dataValidation type="list" allowBlank="1" showInputMessage="1" showErrorMessage="1" sqref="C46" xr:uid="{00000000-0002-0000-0100-000005000000}">
      <formula1>$I$84:$I$86</formula1>
    </dataValidation>
    <dataValidation type="list" allowBlank="1" showInputMessage="1" showErrorMessage="1" sqref="F33" xr:uid="{00000000-0002-0000-0100-000006000000}">
      <formula1>$L$45:$L$46</formula1>
    </dataValidation>
    <dataValidation type="list" allowBlank="1" showInputMessage="1" showErrorMessage="1" sqref="C43" xr:uid="{00000000-0002-0000-0100-000007000000}">
      <formula1>$I$43:$I$49</formula1>
    </dataValidation>
    <dataValidation type="list" allowBlank="1" showInputMessage="1" showErrorMessage="1" sqref="C45" xr:uid="{00000000-0002-0000-0100-000008000000}">
      <formula1>$I$45:$I$48</formula1>
    </dataValidation>
  </dataValidations>
  <printOptions horizontalCentered="1"/>
  <pageMargins left="0.70866141732283472" right="0.51" top="0.74803149606299213" bottom="0.74803149606299213" header="0.31496062992125984" footer="0.31496062992125984"/>
  <pageSetup paperSize="9" fitToHeight="0"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213"/>
  <sheetViews>
    <sheetView showGridLines="0" zoomScaleNormal="100" zoomScaleSheetLayoutView="50" workbookViewId="0">
      <selection activeCell="I12" sqref="I12"/>
    </sheetView>
  </sheetViews>
  <sheetFormatPr defaultColWidth="0" defaultRowHeight="0" customHeight="1" zeroHeight="1"/>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9.875" style="95" hidden="1" customWidth="1"/>
    <col min="19" max="19" width="14" style="354"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7.375" style="95" hidden="1" customWidth="1"/>
    <col min="32" max="32" width="5" style="95" hidden="1" customWidth="1"/>
    <col min="33" max="33" width="5.125" style="95" hidden="1" customWidth="1"/>
    <col min="34" max="16384" width="9" style="95" hidden="1"/>
  </cols>
  <sheetData>
    <row r="1" spans="1:29" s="84" customFormat="1" ht="6" customHeight="1" thickBot="1">
      <c r="A1" s="77"/>
      <c r="B1" s="78"/>
      <c r="C1" s="79"/>
      <c r="D1" s="80"/>
      <c r="E1" s="77"/>
      <c r="F1" s="81"/>
      <c r="G1" s="81"/>
      <c r="H1" s="81"/>
      <c r="I1" s="82"/>
      <c r="J1" s="82"/>
      <c r="K1" s="81"/>
      <c r="L1" s="83"/>
      <c r="M1" s="77"/>
      <c r="N1" s="77"/>
      <c r="O1" s="77"/>
      <c r="P1" s="77"/>
      <c r="Q1" s="77"/>
      <c r="S1" s="85"/>
    </row>
    <row r="2" spans="1:29" ht="18.75" customHeight="1" thickTop="1">
      <c r="B2" s="87"/>
      <c r="C2" s="88"/>
      <c r="D2" s="89"/>
      <c r="E2" s="90"/>
      <c r="F2" s="91"/>
      <c r="G2" s="91"/>
      <c r="H2" s="91"/>
      <c r="I2" s="92"/>
      <c r="J2" s="93"/>
      <c r="K2" s="93"/>
      <c r="L2" s="93"/>
      <c r="M2" s="93"/>
      <c r="N2" s="91"/>
      <c r="O2" s="94"/>
      <c r="Q2" s="877" t="s">
        <v>173</v>
      </c>
      <c r="S2" s="95"/>
    </row>
    <row r="3" spans="1:29" ht="18.75" customHeight="1">
      <c r="B3" s="87"/>
      <c r="C3" s="88"/>
      <c r="D3" s="89"/>
      <c r="E3" s="90"/>
      <c r="F3" s="91"/>
      <c r="G3" s="91"/>
      <c r="H3" s="91"/>
      <c r="I3" s="92"/>
      <c r="J3" s="93"/>
      <c r="K3" s="93"/>
      <c r="L3" s="93"/>
      <c r="M3" s="93"/>
      <c r="N3" s="91"/>
      <c r="O3" s="96"/>
      <c r="Q3" s="878"/>
      <c r="S3" s="95"/>
    </row>
    <row r="4" spans="1:29" ht="18.75" customHeight="1">
      <c r="B4" s="87"/>
      <c r="C4" s="88"/>
      <c r="D4" s="89"/>
      <c r="E4" s="90"/>
      <c r="F4" s="91"/>
      <c r="G4" s="91"/>
      <c r="H4" s="91"/>
      <c r="I4" s="97"/>
      <c r="J4" s="93"/>
      <c r="K4" s="93"/>
      <c r="L4" s="93"/>
      <c r="M4" s="93"/>
      <c r="N4" s="91"/>
      <c r="O4" s="94"/>
      <c r="Q4" s="878"/>
      <c r="S4" s="95"/>
    </row>
    <row r="5" spans="1:29" ht="13.5" customHeight="1" thickBot="1">
      <c r="B5" s="98"/>
      <c r="C5" s="99"/>
      <c r="D5" s="89"/>
      <c r="E5" s="90"/>
      <c r="F5" s="91"/>
      <c r="G5" s="91"/>
      <c r="H5" s="91"/>
      <c r="I5" s="717"/>
      <c r="J5" s="718" t="s">
        <v>172</v>
      </c>
      <c r="K5" s="880" t="str">
        <f>メイン!C6</f>
        <v>CASBEE-ウェルネスオフィス2025年版</v>
      </c>
      <c r="L5" s="881"/>
      <c r="M5" s="718" t="s">
        <v>174</v>
      </c>
      <c r="N5" s="880" t="str">
        <f>メイン!C5</f>
        <v>CASBEE-WO_2025v1.0</v>
      </c>
      <c r="O5" s="882"/>
      <c r="Q5" s="879"/>
      <c r="R5" s="113" t="s">
        <v>176</v>
      </c>
      <c r="S5" s="95"/>
      <c r="U5" s="113" t="s">
        <v>177</v>
      </c>
    </row>
    <row r="6" spans="1:29" ht="6" customHeight="1" thickTop="1" thickBot="1">
      <c r="B6" s="100"/>
      <c r="J6" s="106"/>
      <c r="K6" s="106"/>
      <c r="L6" s="107"/>
      <c r="M6" s="103"/>
      <c r="N6" s="103"/>
      <c r="O6" s="103"/>
      <c r="S6" s="95"/>
    </row>
    <row r="7" spans="1:29" ht="19.5" customHeight="1" thickBot="1">
      <c r="B7" s="108" t="s">
        <v>175</v>
      </c>
      <c r="C7" s="109"/>
      <c r="D7" s="110"/>
      <c r="E7" s="109"/>
      <c r="F7" s="109"/>
      <c r="G7" s="109"/>
      <c r="H7" s="111"/>
      <c r="I7" s="112"/>
      <c r="J7" s="112"/>
      <c r="K7" s="112"/>
      <c r="L7" s="655" t="s">
        <v>452</v>
      </c>
      <c r="M7" s="656"/>
      <c r="N7" s="656"/>
      <c r="O7" s="657"/>
      <c r="R7"/>
      <c r="S7"/>
      <c r="U7" s="124"/>
      <c r="V7" s="124" t="s">
        <v>180</v>
      </c>
      <c r="W7" s="125" t="s">
        <v>221</v>
      </c>
      <c r="X7" s="125">
        <v>4</v>
      </c>
      <c r="Y7" s="125">
        <v>2</v>
      </c>
      <c r="Z7" s="126" t="s">
        <v>222</v>
      </c>
      <c r="AA7" s="127" t="s">
        <v>223</v>
      </c>
    </row>
    <row r="8" spans="1:29" ht="19.5" customHeight="1" thickBot="1">
      <c r="B8" s="114" t="s">
        <v>178</v>
      </c>
      <c r="C8" s="115"/>
      <c r="D8" s="116" t="str">
        <f>メイン!C11</f>
        <v>○○ビル</v>
      </c>
      <c r="E8" s="115"/>
      <c r="F8" s="115"/>
      <c r="G8" s="117"/>
      <c r="H8" s="118" t="s">
        <v>179</v>
      </c>
      <c r="I8" s="119"/>
      <c r="J8" s="120" t="str">
        <f>メイン!C22</f>
        <v>地上○○F</v>
      </c>
      <c r="K8" s="121"/>
      <c r="L8" s="465" t="s">
        <v>219</v>
      </c>
      <c r="M8" s="122">
        <f>メイン!C46</f>
        <v>0</v>
      </c>
      <c r="N8" s="391"/>
      <c r="O8" s="123"/>
      <c r="R8"/>
      <c r="S8"/>
      <c r="U8" s="126" t="s">
        <v>361</v>
      </c>
      <c r="V8" s="144" t="s">
        <v>884</v>
      </c>
      <c r="W8" s="125">
        <v>5</v>
      </c>
      <c r="X8" s="125">
        <v>4</v>
      </c>
      <c r="Y8" s="125">
        <v>2</v>
      </c>
      <c r="Z8" s="138">
        <f>V46</f>
        <v>3</v>
      </c>
      <c r="AA8" s="127">
        <v>3</v>
      </c>
    </row>
    <row r="9" spans="1:29" ht="19.5" customHeight="1">
      <c r="B9" s="128" t="s">
        <v>182</v>
      </c>
      <c r="C9" s="129"/>
      <c r="D9" s="130" t="str">
        <f>メイン!C12</f>
        <v>○○県○○市</v>
      </c>
      <c r="E9" s="129"/>
      <c r="F9" s="131"/>
      <c r="G9" s="95"/>
      <c r="H9" s="132" t="s">
        <v>183</v>
      </c>
      <c r="I9" s="133"/>
      <c r="J9" s="134">
        <f>メイン!C23</f>
        <v>0</v>
      </c>
      <c r="K9" s="135"/>
      <c r="L9" s="658" t="s">
        <v>294</v>
      </c>
      <c r="M9" s="659"/>
      <c r="N9" s="659"/>
      <c r="O9" s="660"/>
      <c r="R9" s="1" t="s">
        <v>367</v>
      </c>
      <c r="S9" s="1">
        <f>スコア!O8</f>
        <v>3.0333333333333332</v>
      </c>
      <c r="U9" s="126" t="s">
        <v>362</v>
      </c>
      <c r="V9" s="144" t="s">
        <v>885</v>
      </c>
      <c r="W9" s="125">
        <v>5</v>
      </c>
      <c r="X9" s="125">
        <v>4</v>
      </c>
      <c r="Y9" s="125">
        <v>2</v>
      </c>
      <c r="Z9" s="138">
        <f>Y46</f>
        <v>3</v>
      </c>
      <c r="AA9" s="127">
        <v>3</v>
      </c>
    </row>
    <row r="10" spans="1:29" ht="18.75" customHeight="1">
      <c r="B10" s="128" t="s">
        <v>10</v>
      </c>
      <c r="C10" s="139"/>
      <c r="D10" s="130" t="str">
        <f>メイン!C14</f>
        <v>商業地域、防火地域</v>
      </c>
      <c r="E10" s="139"/>
      <c r="F10" s="139"/>
      <c r="G10" s="95"/>
      <c r="H10" s="118" t="s">
        <v>184</v>
      </c>
      <c r="I10" s="119"/>
      <c r="J10" s="140" t="str">
        <f>メイン!C32</f>
        <v>XX</v>
      </c>
      <c r="K10" s="131" t="s">
        <v>185</v>
      </c>
      <c r="L10" s="141"/>
      <c r="M10" s="142"/>
      <c r="N10" s="142"/>
      <c r="O10" s="143"/>
      <c r="R10" s="1" t="s">
        <v>368</v>
      </c>
      <c r="S10" s="1">
        <f>(S9-1)*25</f>
        <v>50.833333333333329</v>
      </c>
      <c r="U10" s="126" t="s">
        <v>360</v>
      </c>
      <c r="V10" s="144" t="s">
        <v>886</v>
      </c>
      <c r="W10" s="125">
        <v>5</v>
      </c>
      <c r="X10" s="125">
        <v>4</v>
      </c>
      <c r="Y10" s="125">
        <v>2</v>
      </c>
      <c r="Z10" s="138">
        <f>S46</f>
        <v>3.1</v>
      </c>
      <c r="AA10" s="127">
        <v>3</v>
      </c>
    </row>
    <row r="11" spans="1:29" ht="18.75" customHeight="1">
      <c r="B11" s="145" t="s">
        <v>248</v>
      </c>
      <c r="C11" s="146"/>
      <c r="D11" s="134" t="str">
        <f>IF(メイン!F12="","",メイン!F12)</f>
        <v/>
      </c>
      <c r="E11" s="146"/>
      <c r="F11" s="147"/>
      <c r="G11" s="148"/>
      <c r="H11" s="132" t="str">
        <f>IF(メイン!I3=3,メイン!J33,メイン!I33)</f>
        <v>年間使用時間</v>
      </c>
      <c r="I11" s="133"/>
      <c r="J11" s="149" t="str">
        <f>IF(メイン!I3=3,メイン!C34,メイン!C33)</f>
        <v>XXX</v>
      </c>
      <c r="K11" s="460" t="str">
        <f>IF(メイン!I3=3,メイン!D34,メイン!D33)</f>
        <v>時間/年（想定値）</v>
      </c>
      <c r="L11" s="141"/>
      <c r="M11" s="142"/>
      <c r="N11" s="142"/>
      <c r="O11" s="143"/>
      <c r="R11" s="1" t="s">
        <v>369</v>
      </c>
      <c r="S11" s="1">
        <f>IF(S10&gt;H30,5,IF(S10&gt;=H31,4,IF(S10&gt;=H32,3,IF(S10&gt;=H33,2,1))))</f>
        <v>3</v>
      </c>
      <c r="U11" s="1" t="s">
        <v>439</v>
      </c>
      <c r="V11" s="1"/>
      <c r="W11" s="1"/>
      <c r="X11" s="1"/>
      <c r="Y11" s="1"/>
      <c r="Z11" s="1"/>
      <c r="AA11" s="1"/>
    </row>
    <row r="12" spans="1:29" ht="18.75" customHeight="1">
      <c r="B12" s="150" t="s">
        <v>186</v>
      </c>
      <c r="C12" s="151"/>
      <c r="D12" s="152" t="str">
        <f>メイン!C20</f>
        <v>○○</v>
      </c>
      <c r="E12" s="151"/>
      <c r="F12" s="151"/>
      <c r="G12" s="153"/>
      <c r="H12" s="132" t="s">
        <v>187</v>
      </c>
      <c r="I12" s="154"/>
      <c r="J12" s="899" t="str">
        <f>IF(メイン!C45=0,"",メイン!C45&amp;"評価")</f>
        <v/>
      </c>
      <c r="K12" s="900"/>
      <c r="L12" s="141"/>
      <c r="M12" s="155" t="s">
        <v>188</v>
      </c>
      <c r="N12" s="142"/>
      <c r="O12" s="143"/>
      <c r="R12" s="1" t="s">
        <v>372</v>
      </c>
      <c r="S12" s="1" t="str">
        <f>IF(S11=5,"S",IF(S11=4,"A",IF(S11=3,"B+",IF(S11=2,"B-","C"))))</f>
        <v>B+</v>
      </c>
    </row>
    <row r="13" spans="1:29" ht="14.25">
      <c r="B13" s="442" t="s">
        <v>42</v>
      </c>
      <c r="C13" s="443"/>
      <c r="D13" s="888" t="str">
        <f>メイン!C15</f>
        <v>2020年●月</v>
      </c>
      <c r="E13" s="889"/>
      <c r="F13" s="444">
        <f>メイン!F15</f>
        <v>0</v>
      </c>
      <c r="G13" s="445"/>
      <c r="H13" s="118" t="s">
        <v>43</v>
      </c>
      <c r="I13" s="156"/>
      <c r="J13" s="157" t="str">
        <f>IF(メイン!C39=0,"",メイン!C39)</f>
        <v>201●年●月●日</v>
      </c>
      <c r="K13" s="158"/>
      <c r="L13" s="141"/>
      <c r="M13" s="159" t="s">
        <v>245</v>
      </c>
      <c r="N13" s="142"/>
      <c r="O13" s="143"/>
      <c r="R13" s="1"/>
      <c r="S13" s="1"/>
      <c r="AB13"/>
      <c r="AC13"/>
    </row>
    <row r="14" spans="1:29" ht="14.25" hidden="1">
      <c r="B14" s="438" t="s">
        <v>257</v>
      </c>
      <c r="C14" s="121"/>
      <c r="D14" s="897" t="str">
        <f>メイン!C16</f>
        <v>2016年６月～８月</v>
      </c>
      <c r="E14" s="898"/>
      <c r="F14"/>
      <c r="G14"/>
      <c r="H14" s="118"/>
      <c r="I14" s="156"/>
      <c r="J14" s="157"/>
      <c r="K14" s="158"/>
      <c r="L14" s="141"/>
      <c r="M14" s="159"/>
      <c r="N14" s="142"/>
      <c r="O14" s="143"/>
      <c r="R14" s="1"/>
      <c r="S14" s="1"/>
      <c r="U14"/>
      <c r="V14"/>
      <c r="W14"/>
      <c r="X14"/>
      <c r="Y14"/>
      <c r="Z14"/>
      <c r="AA14"/>
      <c r="AB14"/>
      <c r="AC14"/>
    </row>
    <row r="15" spans="1:29" ht="14.25">
      <c r="B15" s="446" t="s">
        <v>44</v>
      </c>
      <c r="C15" s="447"/>
      <c r="D15" s="448"/>
      <c r="E15" s="449" t="str">
        <f>メイン!C17</f>
        <v>XXX</v>
      </c>
      <c r="F15" s="444" t="s">
        <v>75</v>
      </c>
      <c r="G15" s="445"/>
      <c r="H15" s="118" t="s">
        <v>45</v>
      </c>
      <c r="I15" s="156"/>
      <c r="J15" s="164" t="str">
        <f>IF(メイン!C40=0,"",メイン!C40)</f>
        <v>○○○</v>
      </c>
      <c r="K15" s="158"/>
      <c r="L15" s="141"/>
      <c r="M15" s="159" t="s">
        <v>246</v>
      </c>
      <c r="N15" s="142"/>
      <c r="O15" s="143"/>
      <c r="R15" s="126" t="s">
        <v>494</v>
      </c>
      <c r="S15" s="165">
        <f>S11/5</f>
        <v>0.6</v>
      </c>
      <c r="U15"/>
      <c r="V15"/>
      <c r="W15"/>
      <c r="X15"/>
      <c r="Y15"/>
      <c r="Z15"/>
      <c r="AA15"/>
      <c r="AB15"/>
      <c r="AC15"/>
    </row>
    <row r="16" spans="1:29" ht="18.75" customHeight="1">
      <c r="B16" s="118" t="s">
        <v>46</v>
      </c>
      <c r="C16" s="160"/>
      <c r="D16" s="161"/>
      <c r="E16" s="162" t="str">
        <f>メイン!C18</f>
        <v>XXX</v>
      </c>
      <c r="F16" s="163" t="s">
        <v>76</v>
      </c>
      <c r="G16" s="95"/>
      <c r="H16" s="118" t="s">
        <v>47</v>
      </c>
      <c r="I16" s="156"/>
      <c r="J16" s="157" t="str">
        <f>IF(メイン!C41=0,"",メイン!C41)</f>
        <v>201●年●月●日</v>
      </c>
      <c r="K16" s="158"/>
      <c r="L16" s="141"/>
      <c r="M16" s="142"/>
      <c r="N16" s="142"/>
      <c r="O16" s="143"/>
      <c r="R16" s="126" t="s">
        <v>50</v>
      </c>
      <c r="S16" s="171">
        <f>1-S15</f>
        <v>0.4</v>
      </c>
      <c r="V16" s="86"/>
      <c r="Z16" s="86"/>
    </row>
    <row r="17" spans="2:36" ht="18" customHeight="1" thickBot="1">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6" ht="15" hidden="1" thickBot="1">
      <c r="B18" s="437" t="s">
        <v>51</v>
      </c>
      <c r="C18" s="95"/>
      <c r="D18" s="439" t="s">
        <v>250</v>
      </c>
      <c r="E18"/>
      <c r="F18"/>
      <c r="G18"/>
      <c r="H18"/>
      <c r="I18"/>
      <c r="J18"/>
      <c r="K18"/>
      <c r="L18" s="173" t="s">
        <v>52</v>
      </c>
      <c r="M18" s="174" t="s">
        <v>53</v>
      </c>
      <c r="N18" s="439" t="s">
        <v>250</v>
      </c>
      <c r="O18" s="137"/>
      <c r="R18" s="86"/>
      <c r="S18" s="86"/>
      <c r="T18" s="86"/>
      <c r="U18" s="86"/>
      <c r="V18" s="86"/>
      <c r="W18" s="86"/>
      <c r="X18" s="86"/>
      <c r="Y18" s="86"/>
      <c r="Z18" s="86"/>
      <c r="AA18" s="86"/>
      <c r="AB18" s="86"/>
    </row>
    <row r="19" spans="2:36" ht="15" hidden="1" thickBot="1">
      <c r="B19" s="437" t="s">
        <v>54</v>
      </c>
      <c r="C19" s="175"/>
      <c r="D19" s="439" t="s">
        <v>250</v>
      </c>
      <c r="E19"/>
      <c r="F19"/>
      <c r="G19"/>
      <c r="H19"/>
      <c r="I19"/>
      <c r="J19"/>
      <c r="K19"/>
      <c r="L19" s="176"/>
      <c r="M19" s="174" t="s">
        <v>55</v>
      </c>
      <c r="N19" s="439" t="s">
        <v>250</v>
      </c>
      <c r="O19" s="177"/>
      <c r="R19" s="167"/>
      <c r="S19" s="119"/>
      <c r="T19" s="86"/>
      <c r="U19" s="86"/>
      <c r="V19" s="119"/>
      <c r="W19" s="122"/>
      <c r="X19" s="86"/>
      <c r="Y19" s="86"/>
      <c r="Z19" s="86"/>
      <c r="AA19" s="86"/>
      <c r="AB19" s="86"/>
    </row>
    <row r="20" spans="2:36" ht="15" hidden="1" thickBot="1">
      <c r="B20" s="437" t="s">
        <v>56</v>
      </c>
      <c r="C20" s="119"/>
      <c r="D20" s="439" t="s">
        <v>250</v>
      </c>
      <c r="E20"/>
      <c r="F20"/>
      <c r="G20"/>
      <c r="H20"/>
      <c r="I20"/>
      <c r="J20"/>
      <c r="K20"/>
      <c r="L20" s="176"/>
      <c r="M20" s="174" t="s">
        <v>57</v>
      </c>
      <c r="N20" s="439" t="s">
        <v>250</v>
      </c>
      <c r="O20" s="177"/>
      <c r="R20" s="167"/>
      <c r="S20" s="119"/>
      <c r="T20" s="86"/>
      <c r="U20" s="86"/>
      <c r="V20" s="119"/>
      <c r="W20" s="122"/>
      <c r="X20" s="86"/>
      <c r="Y20" s="86"/>
      <c r="Z20" s="86"/>
      <c r="AA20" s="86"/>
      <c r="AB20" s="86"/>
    </row>
    <row r="21" spans="2:36" ht="15" hidden="1" thickBot="1">
      <c r="B21" s="437" t="s">
        <v>58</v>
      </c>
      <c r="C21" s="139"/>
      <c r="D21" s="439" t="s">
        <v>250</v>
      </c>
      <c r="E21"/>
      <c r="F21"/>
      <c r="G21"/>
      <c r="H21"/>
      <c r="I21"/>
      <c r="J21"/>
      <c r="K21"/>
      <c r="L21" s="180"/>
      <c r="M21" s="181" t="s">
        <v>59</v>
      </c>
      <c r="N21" s="439" t="s">
        <v>250</v>
      </c>
      <c r="O21" s="182"/>
      <c r="R21" s="167"/>
      <c r="S21" s="119"/>
      <c r="T21" s="86"/>
      <c r="U21" s="86"/>
      <c r="V21" s="119"/>
      <c r="W21" s="122"/>
      <c r="X21" s="86"/>
      <c r="Y21" s="86"/>
      <c r="Z21" s="86"/>
      <c r="AA21" s="86"/>
      <c r="AB21" s="86"/>
    </row>
    <row r="22" spans="2:36" ht="6.75" customHeight="1" thickBot="1">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6" ht="18.75" thickBot="1">
      <c r="B23" s="189" t="s">
        <v>446</v>
      </c>
      <c r="C23" s="190"/>
      <c r="D23" s="191"/>
      <c r="E23" s="192"/>
      <c r="F23" s="192"/>
      <c r="G23" s="192"/>
      <c r="H23" s="192"/>
      <c r="I23" s="192"/>
      <c r="J23" s="661" t="s">
        <v>363</v>
      </c>
      <c r="K23" s="662"/>
      <c r="L23" s="662"/>
      <c r="M23" s="662"/>
      <c r="N23" s="663"/>
      <c r="O23" s="664"/>
      <c r="R23"/>
      <c r="S23"/>
      <c r="T23"/>
      <c r="U23"/>
      <c r="V23"/>
      <c r="W23"/>
      <c r="X23"/>
      <c r="Y23"/>
      <c r="Z23"/>
      <c r="AA23"/>
      <c r="AB23"/>
      <c r="AC23"/>
      <c r="AD23"/>
      <c r="AE23"/>
      <c r="AF23"/>
      <c r="AG23"/>
      <c r="AH23"/>
      <c r="AI23"/>
      <c r="AJ23"/>
    </row>
    <row r="24" spans="2:36" ht="15" customHeight="1">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c r="AJ24"/>
    </row>
    <row r="25" spans="2:36" ht="24" customHeight="1">
      <c r="B25" s="193"/>
      <c r="C25" s="469" t="s">
        <v>371</v>
      </c>
      <c r="D25" s="548" t="str">
        <f>S12</f>
        <v>B+</v>
      </c>
      <c r="E25" s="95"/>
      <c r="F25" s="194">
        <f>S10</f>
        <v>50.833333333333329</v>
      </c>
      <c r="G25" s="413" t="s">
        <v>370</v>
      </c>
      <c r="H25"/>
      <c r="I25"/>
      <c r="J25" s="195"/>
      <c r="K25" s="95"/>
      <c r="L25" s="95"/>
      <c r="M25" s="95"/>
      <c r="N25" s="95"/>
      <c r="O25" s="137"/>
      <c r="P25" s="95"/>
      <c r="Q25" s="95"/>
      <c r="R25"/>
      <c r="S25"/>
      <c r="T25"/>
      <c r="U25"/>
      <c r="V25"/>
      <c r="W25"/>
      <c r="X25"/>
      <c r="Y25"/>
      <c r="Z25"/>
      <c r="AA25"/>
      <c r="AB25"/>
      <c r="AC25"/>
      <c r="AD25"/>
      <c r="AE25"/>
      <c r="AF25"/>
      <c r="AG25"/>
      <c r="AH25"/>
      <c r="AI25"/>
      <c r="AJ25"/>
    </row>
    <row r="26" spans="2:36" ht="15" customHeight="1">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c r="AJ26"/>
    </row>
    <row r="27" spans="2:36" ht="15" customHeight="1">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c r="AJ27"/>
    </row>
    <row r="28" spans="2:36" ht="15" customHeight="1">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c r="AJ28"/>
    </row>
    <row r="29" spans="2:36" ht="15" customHeight="1">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c r="AJ29"/>
    </row>
    <row r="30" spans="2:36" ht="15" customHeight="1">
      <c r="B30" s="136"/>
      <c r="C30" s="95"/>
      <c r="D30" s="466" t="s">
        <v>447</v>
      </c>
      <c r="E30" s="95"/>
      <c r="F30" s="95"/>
      <c r="G30" s="467" t="s">
        <v>519</v>
      </c>
      <c r="H30" s="468">
        <v>75</v>
      </c>
      <c r="I30"/>
      <c r="J30" s="196"/>
      <c r="K30" s="197"/>
      <c r="L30" s="95"/>
      <c r="M30" s="95"/>
      <c r="N30" s="198"/>
      <c r="O30" s="199"/>
      <c r="P30" s="95"/>
      <c r="Q30" s="95"/>
      <c r="R30"/>
      <c r="S30"/>
      <c r="T30"/>
      <c r="U30"/>
      <c r="V30"/>
      <c r="W30"/>
      <c r="X30"/>
      <c r="Y30"/>
      <c r="Z30"/>
      <c r="AA30"/>
      <c r="AB30"/>
      <c r="AC30"/>
      <c r="AD30"/>
      <c r="AE30"/>
      <c r="AF30"/>
      <c r="AG30"/>
      <c r="AH30"/>
      <c r="AI30"/>
      <c r="AJ30"/>
    </row>
    <row r="31" spans="2:36" ht="15" customHeight="1">
      <c r="B31" s="136"/>
      <c r="C31" s="95"/>
      <c r="D31" s="466" t="s">
        <v>448</v>
      </c>
      <c r="E31" s="95"/>
      <c r="F31" s="95"/>
      <c r="G31" s="467" t="s">
        <v>365</v>
      </c>
      <c r="H31" s="468">
        <v>65</v>
      </c>
      <c r="I31"/>
      <c r="J31" s="196"/>
      <c r="K31" s="197"/>
      <c r="L31" s="95"/>
      <c r="M31" s="95"/>
      <c r="N31" s="198"/>
      <c r="O31" s="199"/>
      <c r="P31" s="95"/>
      <c r="Q31" s="95"/>
      <c r="R31"/>
      <c r="S31"/>
      <c r="T31"/>
      <c r="U31"/>
      <c r="V31"/>
      <c r="W31"/>
      <c r="X31"/>
      <c r="Y31"/>
      <c r="Z31"/>
      <c r="AA31"/>
      <c r="AB31"/>
      <c r="AC31"/>
      <c r="AD31"/>
      <c r="AE31"/>
      <c r="AF31"/>
      <c r="AG31"/>
      <c r="AH31"/>
      <c r="AI31"/>
      <c r="AJ31"/>
    </row>
    <row r="32" spans="2:36" ht="15" customHeight="1">
      <c r="B32" s="136"/>
      <c r="C32" s="95"/>
      <c r="D32" s="466" t="s">
        <v>449</v>
      </c>
      <c r="E32" s="95"/>
      <c r="F32" s="95"/>
      <c r="G32" s="467" t="s">
        <v>365</v>
      </c>
      <c r="H32" s="468">
        <v>50</v>
      </c>
      <c r="I32"/>
      <c r="J32" s="196"/>
      <c r="K32" s="197"/>
      <c r="L32" s="95"/>
      <c r="M32" s="95"/>
      <c r="N32" s="198"/>
      <c r="O32" s="199"/>
      <c r="P32" s="95"/>
      <c r="Q32" s="95"/>
      <c r="R32"/>
      <c r="S32"/>
      <c r="T32"/>
      <c r="U32"/>
      <c r="V32"/>
      <c r="W32"/>
      <c r="X32"/>
      <c r="Y32"/>
      <c r="Z32"/>
      <c r="AA32"/>
      <c r="AB32"/>
      <c r="AC32"/>
      <c r="AD32"/>
      <c r="AE32"/>
      <c r="AF32"/>
      <c r="AG32"/>
      <c r="AH32"/>
      <c r="AI32"/>
      <c r="AJ32"/>
    </row>
    <row r="33" spans="2:37" ht="15" customHeight="1">
      <c r="B33" s="136"/>
      <c r="C33" s="95"/>
      <c r="D33" s="466" t="s">
        <v>450</v>
      </c>
      <c r="E33" s="95"/>
      <c r="F33" s="95"/>
      <c r="G33" s="467" t="s">
        <v>365</v>
      </c>
      <c r="H33" s="468">
        <v>40</v>
      </c>
      <c r="I33"/>
      <c r="J33" s="196"/>
      <c r="K33" s="197"/>
      <c r="L33" s="95"/>
      <c r="M33" s="95"/>
      <c r="N33" s="198"/>
      <c r="O33" s="199"/>
      <c r="P33" s="95"/>
      <c r="Q33" s="95"/>
      <c r="R33"/>
      <c r="S33"/>
      <c r="T33"/>
      <c r="U33"/>
      <c r="V33"/>
      <c r="W33"/>
      <c r="X33"/>
      <c r="Y33"/>
      <c r="Z33"/>
      <c r="AA33"/>
      <c r="AB33"/>
      <c r="AC33"/>
      <c r="AD33"/>
      <c r="AE33"/>
      <c r="AF33"/>
      <c r="AG33"/>
      <c r="AH33"/>
      <c r="AI33"/>
      <c r="AJ33"/>
    </row>
    <row r="34" spans="2:37" ht="15" customHeight="1">
      <c r="B34" s="136"/>
      <c r="C34" s="95"/>
      <c r="D34" s="466" t="s">
        <v>451</v>
      </c>
      <c r="E34" s="95"/>
      <c r="F34" s="95"/>
      <c r="G34" s="467" t="s">
        <v>366</v>
      </c>
      <c r="H34" s="468">
        <v>40</v>
      </c>
      <c r="I34"/>
      <c r="J34" s="196"/>
      <c r="K34" s="197"/>
      <c r="L34" s="95"/>
      <c r="M34" s="95"/>
      <c r="N34" s="198"/>
      <c r="O34" s="199"/>
      <c r="P34" s="95"/>
      <c r="Q34" s="95"/>
      <c r="R34"/>
      <c r="S34"/>
      <c r="T34"/>
      <c r="U34"/>
      <c r="V34"/>
      <c r="W34"/>
      <c r="X34"/>
      <c r="Y34"/>
      <c r="Z34"/>
      <c r="AA34"/>
      <c r="AB34" s="86"/>
    </row>
    <row r="35" spans="2:37" ht="15" customHeight="1">
      <c r="B35" s="136"/>
      <c r="C35" s="95"/>
      <c r="D35" s="95"/>
      <c r="E35" s="95"/>
      <c r="F35" s="95"/>
      <c r="G35" s="95"/>
      <c r="H35" s="95"/>
      <c r="I35"/>
      <c r="J35" s="196"/>
      <c r="K35" s="95"/>
      <c r="L35" s="95"/>
      <c r="M35" s="95"/>
      <c r="N35" s="95"/>
      <c r="O35" s="137"/>
      <c r="P35" s="95"/>
      <c r="Q35" s="95"/>
      <c r="R35"/>
      <c r="S35"/>
      <c r="T35"/>
      <c r="U35"/>
      <c r="V35"/>
      <c r="W35"/>
      <c r="X35"/>
      <c r="Y35"/>
      <c r="Z35"/>
      <c r="AA35"/>
      <c r="AB35" s="86"/>
    </row>
    <row r="36" spans="2:37" ht="15.75" hidden="1" customHeight="1">
      <c r="B36" s="136"/>
      <c r="C36" s="95"/>
      <c r="D36" s="95"/>
      <c r="E36" s="95"/>
      <c r="F36" s="95"/>
      <c r="G36" s="95"/>
      <c r="H36" s="95"/>
      <c r="I36"/>
      <c r="J36" s="196"/>
      <c r="K36" s="95"/>
      <c r="L36" s="95"/>
      <c r="M36" s="95"/>
      <c r="N36" s="200"/>
      <c r="O36" s="137"/>
      <c r="P36" s="95"/>
      <c r="Q36" s="95"/>
      <c r="R36"/>
      <c r="S36"/>
      <c r="T36"/>
      <c r="U36"/>
      <c r="V36"/>
      <c r="W36"/>
      <c r="X36"/>
      <c r="Y36"/>
      <c r="Z36"/>
      <c r="AA36"/>
      <c r="AB36" s="86"/>
    </row>
    <row r="37" spans="2:37" ht="15.75" hidden="1" customHeight="1">
      <c r="B37" s="136"/>
      <c r="C37" s="95"/>
      <c r="D37" s="95"/>
      <c r="E37" s="95"/>
      <c r="F37" s="95"/>
      <c r="G37" s="95"/>
      <c r="H37" s="95"/>
      <c r="I37"/>
      <c r="J37" s="196"/>
      <c r="K37" s="95"/>
      <c r="L37" s="95"/>
      <c r="M37" s="95"/>
      <c r="N37" s="201"/>
      <c r="O37" s="137"/>
      <c r="P37" s="95"/>
      <c r="Q37" s="95"/>
      <c r="R37"/>
      <c r="S37"/>
      <c r="T37"/>
      <c r="U37"/>
      <c r="V37"/>
      <c r="W37"/>
      <c r="X37"/>
      <c r="Y37"/>
      <c r="Z37"/>
      <c r="AA37"/>
      <c r="AB37" s="86"/>
    </row>
    <row r="38" spans="2:37" ht="15.75" hidden="1" customHeight="1">
      <c r="B38" s="136"/>
      <c r="C38" s="81"/>
      <c r="D38" s="95"/>
      <c r="E38" s="95"/>
      <c r="F38" s="95"/>
      <c r="G38" s="95"/>
      <c r="H38" s="95"/>
      <c r="I38"/>
      <c r="J38" s="136"/>
      <c r="K38" s="202"/>
      <c r="L38" s="95"/>
      <c r="M38" s="95"/>
      <c r="N38" s="95"/>
      <c r="O38" s="137"/>
      <c r="P38" s="95"/>
      <c r="Q38" s="95"/>
      <c r="R38"/>
      <c r="S38"/>
      <c r="T38"/>
      <c r="U38"/>
      <c r="V38"/>
      <c r="W38"/>
      <c r="X38"/>
      <c r="Y38"/>
      <c r="Z38"/>
      <c r="AA38"/>
      <c r="AB38" s="86"/>
    </row>
    <row r="39" spans="2:37" ht="15" customHeight="1" thickBot="1">
      <c r="B39" s="203"/>
      <c r="C39" s="178"/>
      <c r="D39" s="178"/>
      <c r="E39" s="552"/>
      <c r="F39" s="178"/>
      <c r="G39" s="178"/>
      <c r="H39"/>
      <c r="I39"/>
      <c r="J39" s="203"/>
      <c r="K39" s="204"/>
      <c r="L39" s="95"/>
      <c r="M39" s="95"/>
      <c r="N39" s="178"/>
      <c r="O39" s="205"/>
      <c r="P39" s="95"/>
      <c r="Q39" s="95"/>
      <c r="R39"/>
      <c r="S39"/>
      <c r="T39"/>
      <c r="U39"/>
      <c r="V39"/>
      <c r="W39"/>
      <c r="X39"/>
      <c r="Y39"/>
      <c r="Z39"/>
      <c r="AA39"/>
    </row>
    <row r="40" spans="2:37" ht="18" customHeight="1" thickBot="1">
      <c r="B40" s="206" t="s">
        <v>364</v>
      </c>
      <c r="C40" s="207"/>
      <c r="D40" s="208"/>
      <c r="E40" s="207"/>
      <c r="F40" s="207"/>
      <c r="G40" s="207"/>
      <c r="H40" s="209"/>
      <c r="I40" s="210"/>
      <c r="J40" s="207"/>
      <c r="K40" s="207"/>
      <c r="L40" s="207"/>
      <c r="M40" s="211"/>
      <c r="N40" s="211"/>
      <c r="O40" s="212"/>
      <c r="R40"/>
      <c r="S40"/>
      <c r="T40"/>
      <c r="U40"/>
      <c r="V40"/>
      <c r="W40"/>
      <c r="X40"/>
      <c r="Y40"/>
      <c r="Z40"/>
      <c r="AA40"/>
    </row>
    <row r="41" spans="2:37" ht="14.25">
      <c r="B41" s="846" t="s">
        <v>1070</v>
      </c>
      <c r="C41" s="236"/>
      <c r="D41" s="237"/>
      <c r="E41" s="236"/>
      <c r="F41" s="236"/>
      <c r="G41" s="236"/>
      <c r="H41" s="236"/>
      <c r="I41" s="236"/>
      <c r="J41" s="236"/>
      <c r="K41" s="470"/>
      <c r="L41" s="238"/>
      <c r="M41" s="239"/>
      <c r="N41" s="239"/>
      <c r="O41" s="240"/>
      <c r="R41"/>
      <c r="S41"/>
      <c r="T41"/>
      <c r="U41"/>
      <c r="V41"/>
      <c r="W41"/>
      <c r="X41"/>
      <c r="Y41"/>
      <c r="Z41"/>
      <c r="AA41"/>
    </row>
    <row r="42" spans="2:37" ht="15">
      <c r="B42" s="136"/>
      <c r="C42" s="845" t="str">
        <f>R46</f>
        <v>Qw1 
安全・安心性</v>
      </c>
      <c r="D42" s="466"/>
      <c r="E42" s="466"/>
      <c r="F42" s="466"/>
      <c r="G42" s="466"/>
      <c r="H42" s="466"/>
      <c r="I42" s="845" t="str">
        <f>U46</f>
        <v>Qw2 
健康性・快適性</v>
      </c>
      <c r="J42" s="466"/>
      <c r="K42" s="466"/>
      <c r="L42" s="619"/>
      <c r="M42" s="466"/>
      <c r="N42" s="466"/>
      <c r="O42" s="620"/>
      <c r="R42"/>
      <c r="S42"/>
      <c r="T42"/>
      <c r="U42"/>
      <c r="V42"/>
      <c r="W42"/>
      <c r="X42"/>
      <c r="Y42"/>
      <c r="Z42"/>
      <c r="AA42"/>
    </row>
    <row r="43" spans="2:37" ht="15" customHeight="1">
      <c r="B43" s="136"/>
      <c r="C43" s="466"/>
      <c r="D43" s="466"/>
      <c r="E43" s="466"/>
      <c r="F43" s="466"/>
      <c r="G43" s="621" t="s">
        <v>496</v>
      </c>
      <c r="H43" s="627">
        <f>S46</f>
        <v>3.1</v>
      </c>
      <c r="I43" s="466"/>
      <c r="L43" s="466"/>
      <c r="M43" s="625" t="s">
        <v>496</v>
      </c>
      <c r="N43" s="627">
        <f>V46</f>
        <v>3</v>
      </c>
      <c r="O43" s="626"/>
      <c r="R43"/>
      <c r="S43"/>
      <c r="T43"/>
      <c r="U43"/>
      <c r="V43"/>
      <c r="W43"/>
      <c r="X43"/>
      <c r="Y43"/>
      <c r="Z43"/>
      <c r="AA43"/>
    </row>
    <row r="44" spans="2:37" ht="15" customHeight="1">
      <c r="B44" s="136"/>
      <c r="C44" s="466"/>
      <c r="D44" s="466"/>
      <c r="E44" s="466"/>
      <c r="F44" s="466"/>
      <c r="G44" s="466"/>
      <c r="H44" s="466"/>
      <c r="I44" s="466"/>
      <c r="J44" s="466"/>
      <c r="K44" s="466"/>
      <c r="L44" s="466"/>
      <c r="M44" s="466"/>
      <c r="N44" s="466"/>
      <c r="O44" s="620"/>
      <c r="S44" s="95"/>
      <c r="AA44" s="86"/>
      <c r="AB44" s="86"/>
      <c r="AC44" s="213"/>
      <c r="AG44" s="213"/>
      <c r="AH44" s="213"/>
      <c r="AJ44" s="213"/>
    </row>
    <row r="45" spans="2:37" ht="15" customHeight="1">
      <c r="B45" s="136"/>
      <c r="C45" s="466"/>
      <c r="D45" s="466"/>
      <c r="E45" s="466"/>
      <c r="F45" s="466"/>
      <c r="G45" s="466"/>
      <c r="H45" s="466"/>
      <c r="I45" s="466"/>
      <c r="J45" s="466"/>
      <c r="K45" s="466"/>
      <c r="L45" s="466"/>
      <c r="M45" s="466"/>
      <c r="N45" s="466"/>
      <c r="O45" s="620"/>
      <c r="R45" s="1"/>
      <c r="S45" s="1" t="s">
        <v>181</v>
      </c>
      <c r="T45" s="1" t="s">
        <v>74</v>
      </c>
      <c r="U45" s="1"/>
      <c r="V45" s="1" t="s">
        <v>181</v>
      </c>
      <c r="W45" s="1" t="s">
        <v>74</v>
      </c>
      <c r="X45" s="1"/>
      <c r="Y45" s="1" t="s">
        <v>181</v>
      </c>
      <c r="Z45" s="1" t="s">
        <v>74</v>
      </c>
      <c r="AA45" s="86"/>
      <c r="AB45" s="86"/>
    </row>
    <row r="46" spans="2:37" ht="15" customHeight="1">
      <c r="B46" s="136"/>
      <c r="C46" s="466"/>
      <c r="D46" s="466"/>
      <c r="E46" s="466"/>
      <c r="F46" s="466"/>
      <c r="G46" s="466"/>
      <c r="H46" s="466"/>
      <c r="I46" s="466"/>
      <c r="J46" s="466"/>
      <c r="K46" s="466"/>
      <c r="L46" s="466"/>
      <c r="M46" s="466"/>
      <c r="N46" s="466"/>
      <c r="O46" s="620"/>
      <c r="R46" s="1" t="str">
        <f>V10</f>
        <v>Qw1 
安全・安心性</v>
      </c>
      <c r="S46" s="568">
        <f>スコア!J10</f>
        <v>3.1</v>
      </c>
      <c r="T46" s="568">
        <f>スコア!O10</f>
        <v>3.1428571428571428</v>
      </c>
      <c r="U46" s="1" t="str">
        <f>V8</f>
        <v>Qw2 
健康性・快適性</v>
      </c>
      <c r="V46" s="568">
        <f>スコア!J30</f>
        <v>3</v>
      </c>
      <c r="W46" s="568">
        <f>スコア!O30</f>
        <v>3</v>
      </c>
      <c r="X46" s="1" t="str">
        <f>V9</f>
        <v>Qw3 
知的生産性向上</v>
      </c>
      <c r="Y46" s="568">
        <f>スコア!J69</f>
        <v>3</v>
      </c>
      <c r="Z46" s="568">
        <f>スコア!O69</f>
        <v>3</v>
      </c>
      <c r="AA46" s="86"/>
      <c r="AB46" s="86"/>
    </row>
    <row r="47" spans="2:37" ht="15" customHeight="1">
      <c r="B47" s="136"/>
      <c r="C47" s="466"/>
      <c r="D47" s="466"/>
      <c r="E47" s="466"/>
      <c r="F47" s="466"/>
      <c r="G47" s="466"/>
      <c r="H47" s="466"/>
      <c r="I47" s="466"/>
      <c r="J47" s="466"/>
      <c r="K47" s="466"/>
      <c r="L47" s="466"/>
      <c r="M47" s="466"/>
      <c r="N47" s="466"/>
      <c r="O47" s="620"/>
      <c r="S47" s="95"/>
      <c r="AA47" s="86"/>
      <c r="AB47"/>
      <c r="AC47"/>
      <c r="AD47"/>
      <c r="AF47" s="1"/>
      <c r="AG47" s="1" t="s">
        <v>136</v>
      </c>
      <c r="AH47" s="1" t="s">
        <v>137</v>
      </c>
      <c r="AI47" s="1"/>
      <c r="AJ47" s="1" t="s">
        <v>136</v>
      </c>
      <c r="AK47" s="1" t="s">
        <v>137</v>
      </c>
    </row>
    <row r="48" spans="2:37" ht="15" customHeight="1">
      <c r="B48" s="136"/>
      <c r="C48" s="466"/>
      <c r="D48" s="466"/>
      <c r="E48" s="466"/>
      <c r="F48" s="466"/>
      <c r="G48" s="466"/>
      <c r="H48" s="466"/>
      <c r="I48" s="466"/>
      <c r="J48" s="466"/>
      <c r="K48" s="466"/>
      <c r="L48" s="466"/>
      <c r="M48" s="466"/>
      <c r="N48" s="466"/>
      <c r="O48" s="620"/>
      <c r="R48" s="1"/>
      <c r="S48" s="1" t="s">
        <v>134</v>
      </c>
      <c r="T48" s="1" t="s">
        <v>135</v>
      </c>
      <c r="U48" s="1"/>
      <c r="V48" s="1" t="s">
        <v>134</v>
      </c>
      <c r="W48" s="1" t="s">
        <v>135</v>
      </c>
      <c r="X48" s="1"/>
      <c r="Y48" s="1" t="s">
        <v>134</v>
      </c>
      <c r="Z48" s="1" t="s">
        <v>135</v>
      </c>
      <c r="AA48" s="86"/>
      <c r="AB48" s="95" t="s">
        <v>453</v>
      </c>
      <c r="AC48"/>
      <c r="AD48"/>
      <c r="AF48" s="1"/>
      <c r="AG48" s="568">
        <f>スコア!J91</f>
        <v>0</v>
      </c>
      <c r="AH48" s="568">
        <f>スコア!O91</f>
        <v>0</v>
      </c>
      <c r="AI48" s="1"/>
      <c r="AJ48" s="568">
        <f>スコア!J92</f>
        <v>0</v>
      </c>
      <c r="AK48" s="568">
        <f>スコア!O92</f>
        <v>0</v>
      </c>
    </row>
    <row r="49" spans="2:37" ht="15" customHeight="1">
      <c r="B49" s="136"/>
      <c r="C49" s="466"/>
      <c r="D49" s="466"/>
      <c r="E49" s="466"/>
      <c r="F49" s="466"/>
      <c r="G49" s="466"/>
      <c r="H49" s="466"/>
      <c r="I49" s="466"/>
      <c r="J49" s="466"/>
      <c r="K49" s="466"/>
      <c r="L49" s="466"/>
      <c r="M49" s="466"/>
      <c r="N49" s="466"/>
      <c r="O49" s="620"/>
      <c r="R49" s="1" t="s">
        <v>427</v>
      </c>
      <c r="S49" s="568">
        <f>スコア!J11</f>
        <v>3.3</v>
      </c>
      <c r="T49" s="1" t="str">
        <f>IF(S49=0,"N.A.","")</f>
        <v/>
      </c>
      <c r="U49" s="1" t="s">
        <v>882</v>
      </c>
      <c r="V49" s="568">
        <f>スコア!J31</f>
        <v>3</v>
      </c>
      <c r="W49" s="1" t="str">
        <f>IF(V49=0,"N.A.","")</f>
        <v/>
      </c>
      <c r="X49" s="1" t="s">
        <v>375</v>
      </c>
      <c r="Y49" s="568">
        <f>スコア!J70</f>
        <v>3</v>
      </c>
      <c r="Z49" s="1" t="str">
        <f>IF(Y49=0,"N.A.","")</f>
        <v/>
      </c>
      <c r="AA49" s="86"/>
      <c r="AC49" s="1" t="s">
        <v>134</v>
      </c>
      <c r="AD49" s="1" t="s">
        <v>135</v>
      </c>
      <c r="AI49" s="848" t="s">
        <v>1030</v>
      </c>
      <c r="AJ49" s="219"/>
    </row>
    <row r="50" spans="2:37" ht="15" customHeight="1">
      <c r="B50" s="136"/>
      <c r="C50" s="466"/>
      <c r="D50" s="466"/>
      <c r="E50" s="466"/>
      <c r="F50" s="466"/>
      <c r="G50" s="466"/>
      <c r="H50" s="466"/>
      <c r="I50" s="466"/>
      <c r="J50" s="466"/>
      <c r="K50" s="466"/>
      <c r="L50" s="466"/>
      <c r="M50" s="466"/>
      <c r="N50" s="466"/>
      <c r="O50" s="620"/>
      <c r="R50" s="1" t="s">
        <v>821</v>
      </c>
      <c r="S50" s="568">
        <f>スコア!J18</f>
        <v>3</v>
      </c>
      <c r="T50" s="1" t="str">
        <f t="shared" ref="T50:T53" si="0">IF(S50=0,"N.A.","")</f>
        <v/>
      </c>
      <c r="U50" s="1" t="s">
        <v>423</v>
      </c>
      <c r="V50" s="568">
        <f>スコア!J35</f>
        <v>3</v>
      </c>
      <c r="W50" s="1" t="str">
        <f t="shared" ref="W50:W56" si="1">IF(V50=0,"N.A.","")</f>
        <v/>
      </c>
      <c r="X50" s="1" t="s">
        <v>883</v>
      </c>
      <c r="Y50" s="568">
        <f>スコア!J76</f>
        <v>3</v>
      </c>
      <c r="Z50" s="1" t="str">
        <f>IF(Y50=0,"N.A.","")</f>
        <v/>
      </c>
      <c r="AA50" s="86"/>
      <c r="AB50" s="559" t="s">
        <v>442</v>
      </c>
      <c r="AC50" s="831">
        <f>ROUNDDOWN(スコア!AL8,1)</f>
        <v>3</v>
      </c>
      <c r="AD50" s="1" t="str">
        <f>IF(AC50=0,"N.A.","")</f>
        <v/>
      </c>
      <c r="AF50" s="1"/>
      <c r="AG50" s="1" t="s">
        <v>138</v>
      </c>
      <c r="AH50" s="1" t="s">
        <v>139</v>
      </c>
      <c r="AI50" s="1"/>
      <c r="AJ50" s="1" t="s">
        <v>138</v>
      </c>
      <c r="AK50" s="1" t="s">
        <v>139</v>
      </c>
    </row>
    <row r="51" spans="2:37" ht="15" customHeight="1">
      <c r="B51" s="136"/>
      <c r="C51" s="466"/>
      <c r="D51" s="466"/>
      <c r="E51" s="466"/>
      <c r="F51" s="466"/>
      <c r="G51" s="466"/>
      <c r="H51" s="466"/>
      <c r="I51" s="466"/>
      <c r="J51" s="466"/>
      <c r="K51" s="466"/>
      <c r="L51" s="466"/>
      <c r="M51" s="466"/>
      <c r="N51" s="466"/>
      <c r="O51" s="620"/>
      <c r="R51" s="1" t="s">
        <v>428</v>
      </c>
      <c r="S51" s="568">
        <f>スコア!J21</f>
        <v>3</v>
      </c>
      <c r="T51" s="1" t="str">
        <f t="shared" si="0"/>
        <v/>
      </c>
      <c r="U51" s="426" t="s">
        <v>424</v>
      </c>
      <c r="V51" s="569">
        <f>スコア!J41</f>
        <v>3</v>
      </c>
      <c r="W51" s="1" t="str">
        <f t="shared" si="1"/>
        <v/>
      </c>
      <c r="X51" s="1" t="s">
        <v>425</v>
      </c>
      <c r="Y51" s="568">
        <f>スコア!J80</f>
        <v>3</v>
      </c>
      <c r="Z51" s="1" t="str">
        <f>IF(Y51=0,"N.A.","")</f>
        <v/>
      </c>
      <c r="AA51" s="86"/>
      <c r="AB51" s="559" t="s">
        <v>443</v>
      </c>
      <c r="AC51" s="831">
        <f>ROUNDDOWN(スコア!AM8,1)</f>
        <v>3</v>
      </c>
      <c r="AD51" s="1" t="str">
        <f t="shared" ref="AD51:AD53" si="2">IF(AC51=0,"N.A.","")</f>
        <v/>
      </c>
      <c r="AF51" s="1"/>
      <c r="AG51" s="568"/>
      <c r="AH51" s="830" t="str">
        <f t="shared" ref="AH51:AH52" si="3">IF(AG51=0,"N.A.","")</f>
        <v>N.A.</v>
      </c>
      <c r="AI51" s="1" t="s">
        <v>976</v>
      </c>
      <c r="AJ51" s="568">
        <f>ROUNDDOWN(スコア!AS94,1)</f>
        <v>3</v>
      </c>
      <c r="AK51" s="1" t="str">
        <f>IF(AJ51=0,"N.A.","")</f>
        <v/>
      </c>
    </row>
    <row r="52" spans="2:37" ht="18" customHeight="1">
      <c r="B52" s="623"/>
      <c r="C52" s="236"/>
      <c r="D52" s="237"/>
      <c r="E52" s="236"/>
      <c r="F52" s="236"/>
      <c r="G52" s="236"/>
      <c r="H52" s="236"/>
      <c r="I52" s="847" t="s">
        <v>975</v>
      </c>
      <c r="J52" s="236"/>
      <c r="K52" s="470"/>
      <c r="L52" s="844"/>
      <c r="M52" s="239"/>
      <c r="N52" s="239"/>
      <c r="O52" s="240"/>
      <c r="R52" s="1" t="s">
        <v>429</v>
      </c>
      <c r="S52" s="568">
        <f>スコア!J26</f>
        <v>3</v>
      </c>
      <c r="T52" s="1" t="str">
        <f t="shared" si="0"/>
        <v/>
      </c>
      <c r="U52" s="1" t="s">
        <v>171</v>
      </c>
      <c r="V52" s="568">
        <f>スコア!J44</f>
        <v>3</v>
      </c>
      <c r="W52" s="1" t="str">
        <f t="shared" si="1"/>
        <v/>
      </c>
      <c r="X52" s="1" t="s">
        <v>426</v>
      </c>
      <c r="Y52" s="568">
        <f>スコア!J85</f>
        <v>3</v>
      </c>
      <c r="Z52" s="1" t="str">
        <f>IF(Y52=0,"N.A.","")</f>
        <v/>
      </c>
      <c r="AA52" s="86"/>
      <c r="AB52" s="559" t="s">
        <v>444</v>
      </c>
      <c r="AC52" s="831">
        <f>ROUNDDOWN(スコア!AN8,1)</f>
        <v>3</v>
      </c>
      <c r="AD52" s="1" t="str">
        <f t="shared" si="2"/>
        <v/>
      </c>
      <c r="AF52" s="1"/>
      <c r="AG52" s="568"/>
      <c r="AH52" s="830" t="str">
        <f t="shared" si="3"/>
        <v>N.A.</v>
      </c>
      <c r="AI52" s="1" t="s">
        <v>977</v>
      </c>
      <c r="AJ52" s="568">
        <f>ROUNDDOWN(スコア!AR97,1)</f>
        <v>3</v>
      </c>
      <c r="AK52" s="1" t="str">
        <f>IF(AJ52=0,"N.A.","")</f>
        <v/>
      </c>
    </row>
    <row r="53" spans="2:37" ht="15">
      <c r="B53" s="136"/>
      <c r="C53" s="845" t="str">
        <f>X46</f>
        <v>Qw3 
知的生産性向上</v>
      </c>
      <c r="D53" s="466"/>
      <c r="E53" s="466"/>
      <c r="F53" s="466"/>
      <c r="G53" s="466"/>
      <c r="H53" s="466"/>
      <c r="I53" s="848" t="s">
        <v>1068</v>
      </c>
      <c r="J53" s="466"/>
      <c r="K53" s="466"/>
      <c r="L53" s="379" t="s">
        <v>1029</v>
      </c>
      <c r="M53" s="466"/>
      <c r="N53" s="466"/>
      <c r="O53" s="620"/>
      <c r="R53" s="1" t="s">
        <v>824</v>
      </c>
      <c r="S53" s="568">
        <f>スコア!J28</f>
        <v>3</v>
      </c>
      <c r="T53" s="1" t="str">
        <f t="shared" si="0"/>
        <v/>
      </c>
      <c r="U53" s="1" t="s">
        <v>89</v>
      </c>
      <c r="V53" s="568">
        <f>スコア!J47</f>
        <v>3</v>
      </c>
      <c r="W53" s="1" t="str">
        <f t="shared" si="1"/>
        <v/>
      </c>
      <c r="X53" s="1" t="s">
        <v>878</v>
      </c>
      <c r="Y53" s="568">
        <f>スコア!J87</f>
        <v>3</v>
      </c>
      <c r="Z53" s="1" t="str">
        <f>IF(Y53=0,"N.A.","")</f>
        <v/>
      </c>
      <c r="AA53" s="86"/>
      <c r="AB53" s="560" t="s">
        <v>445</v>
      </c>
      <c r="AC53" s="831">
        <f>ROUNDDOWN(スコア!AO8,1)</f>
        <v>3</v>
      </c>
      <c r="AD53" s="1" t="str">
        <f t="shared" si="2"/>
        <v/>
      </c>
      <c r="AF53" s="1"/>
      <c r="AG53" s="568"/>
      <c r="AH53" s="830" t="str">
        <f>IF(AG53=0,"N.A.","")</f>
        <v>N.A.</v>
      </c>
      <c r="AI53" s="1" t="s">
        <v>978</v>
      </c>
      <c r="AJ53" s="568">
        <f>ROUNDDOWN(スコア!AR98,1)</f>
        <v>3</v>
      </c>
      <c r="AK53" s="1" t="str">
        <f>IF(AJ53=0,"N.A.","")</f>
        <v/>
      </c>
    </row>
    <row r="54" spans="2:37" ht="14.25">
      <c r="B54" s="214"/>
      <c r="C54" s="466"/>
      <c r="D54" s="466"/>
      <c r="E54" s="466"/>
      <c r="G54" s="625" t="s">
        <v>500</v>
      </c>
      <c r="H54" s="627">
        <f>Y46</f>
        <v>3</v>
      </c>
      <c r="I54" s="624"/>
      <c r="J54" s="625"/>
      <c r="K54" s="627"/>
      <c r="L54" s="466"/>
      <c r="M54" s="466"/>
      <c r="N54" s="466"/>
      <c r="O54" s="620"/>
      <c r="U54" s="1" t="s">
        <v>377</v>
      </c>
      <c r="V54" s="568">
        <f>スコア!J52</f>
        <v>3</v>
      </c>
      <c r="W54" s="1" t="str">
        <f t="shared" si="1"/>
        <v/>
      </c>
      <c r="AA54" s="86"/>
      <c r="AB54" s="86"/>
    </row>
    <row r="55" spans="2:37" ht="14.25">
      <c r="B55" s="214"/>
      <c r="C55" s="466"/>
      <c r="D55" s="466"/>
      <c r="E55" s="466"/>
      <c r="F55" s="466"/>
      <c r="G55" s="466"/>
      <c r="H55" s="466"/>
      <c r="I55" s="624"/>
      <c r="J55" s="466"/>
      <c r="K55" s="466"/>
      <c r="L55" s="466"/>
      <c r="M55" s="466"/>
      <c r="N55" s="466"/>
      <c r="O55" s="620"/>
      <c r="S55" s="95"/>
      <c r="U55" s="1" t="s">
        <v>430</v>
      </c>
      <c r="V55" s="568">
        <f>スコア!J60</f>
        <v>3</v>
      </c>
      <c r="W55" s="1" t="str">
        <f t="shared" si="1"/>
        <v/>
      </c>
      <c r="AA55" s="86"/>
      <c r="AB55" s="86"/>
    </row>
    <row r="56" spans="2:37" ht="15.75" customHeight="1">
      <c r="B56" s="214"/>
      <c r="C56"/>
      <c r="F56"/>
      <c r="G56"/>
      <c r="H56"/>
      <c r="I56" s="556"/>
      <c r="J56"/>
      <c r="K56"/>
      <c r="L56"/>
      <c r="M56"/>
      <c r="N56"/>
      <c r="O56" s="622"/>
      <c r="S56" s="568">
        <f>スコア!J18</f>
        <v>3</v>
      </c>
      <c r="U56" s="1" t="s">
        <v>431</v>
      </c>
      <c r="V56" s="568">
        <f>スコア!J67</f>
        <v>3</v>
      </c>
      <c r="W56" s="1" t="str">
        <f t="shared" si="1"/>
        <v/>
      </c>
      <c r="AA56" s="86"/>
      <c r="AB56" s="86"/>
    </row>
    <row r="57" spans="2:37" ht="15.75" customHeight="1">
      <c r="B57" s="214"/>
      <c r="C57"/>
      <c r="D57"/>
      <c r="E57"/>
      <c r="F57"/>
      <c r="G57"/>
      <c r="H57"/>
      <c r="I57" s="556"/>
      <c r="J57"/>
      <c r="K57"/>
      <c r="L57"/>
      <c r="M57"/>
      <c r="N57"/>
      <c r="O57" s="622"/>
      <c r="S57" s="568">
        <f>スコア!J25</f>
        <v>4</v>
      </c>
      <c r="AA57" s="86"/>
      <c r="AB57" s="86"/>
    </row>
    <row r="58" spans="2:37" ht="15.75" customHeight="1">
      <c r="B58" s="218"/>
      <c r="I58" s="609"/>
      <c r="J58" s="749"/>
      <c r="O58" s="123"/>
      <c r="S58" s="568">
        <f>スコア!J28</f>
        <v>3</v>
      </c>
      <c r="V58" s="568">
        <f>スコア!J40</f>
        <v>3</v>
      </c>
      <c r="Y58" s="568">
        <f>スコア!J79</f>
        <v>3</v>
      </c>
      <c r="AA58" s="86"/>
      <c r="AB58" s="86"/>
      <c r="AC58"/>
      <c r="AD58"/>
    </row>
    <row r="59" spans="2:37" ht="15.75" customHeight="1">
      <c r="B59" s="218"/>
      <c r="I59" s="609"/>
      <c r="O59" s="123"/>
      <c r="S59" s="568">
        <f>スコア!J33</f>
        <v>3</v>
      </c>
      <c r="T59"/>
      <c r="U59"/>
      <c r="V59" s="568">
        <f>スコア!J44</f>
        <v>3</v>
      </c>
      <c r="W59"/>
      <c r="X59"/>
      <c r="Y59" s="568">
        <f>スコア!J85</f>
        <v>3</v>
      </c>
      <c r="Z59"/>
      <c r="AA59" s="86"/>
      <c r="AB59" s="86"/>
      <c r="AC59" s="828" t="e">
        <f>ROUNDDOWN(スコア!AL17,1)</f>
        <v>#VALUE!</v>
      </c>
      <c r="AD59"/>
    </row>
    <row r="60" spans="2:37" ht="15.75" customHeight="1">
      <c r="B60" s="218"/>
      <c r="I60" s="609"/>
      <c r="O60" s="123"/>
      <c r="S60" s="568">
        <f>スコア!J35</f>
        <v>3</v>
      </c>
      <c r="T60"/>
      <c r="U60"/>
      <c r="V60" s="569">
        <f>スコア!J50</f>
        <v>3</v>
      </c>
      <c r="W60"/>
      <c r="X60"/>
      <c r="Y60" s="568">
        <f>スコア!J89</f>
        <v>3</v>
      </c>
      <c r="Z60"/>
      <c r="AA60" s="86"/>
      <c r="AB60" s="86"/>
      <c r="AC60" s="828" t="e">
        <f>ROUNDDOWN(スコア!AM17,1)</f>
        <v>#VALUE!</v>
      </c>
      <c r="AD60"/>
      <c r="AE60"/>
    </row>
    <row r="61" spans="2:37" ht="15.75" customHeight="1">
      <c r="B61" s="218"/>
      <c r="I61" s="609"/>
      <c r="O61" s="123"/>
      <c r="T61"/>
      <c r="U61"/>
      <c r="V61" s="568">
        <f>スコア!J53</f>
        <v>3</v>
      </c>
      <c r="W61"/>
      <c r="X61"/>
      <c r="Y61" s="568" t="str">
        <f>スコア!J94</f>
        <v>全体</v>
      </c>
      <c r="Z61"/>
      <c r="AA61" s="86"/>
      <c r="AB61" s="86"/>
      <c r="AC61" s="828" t="e">
        <f>ROUNDDOWN(スコア!AN17,1)</f>
        <v>#VALUE!</v>
      </c>
      <c r="AD61"/>
      <c r="AE61"/>
    </row>
    <row r="62" spans="2:37" ht="15.75" customHeight="1" thickBot="1">
      <c r="B62" s="220"/>
      <c r="C62" s="221"/>
      <c r="D62" s="222"/>
      <c r="E62" s="221"/>
      <c r="F62" s="223"/>
      <c r="G62" s="223"/>
      <c r="H62" s="223"/>
      <c r="I62" s="829"/>
      <c r="J62" s="179"/>
      <c r="K62" s="179"/>
      <c r="L62" s="179"/>
      <c r="M62" s="224"/>
      <c r="N62" s="224"/>
      <c r="O62" s="225"/>
      <c r="T62"/>
      <c r="U62"/>
      <c r="V62" s="568">
        <f>スコア!J56</f>
        <v>3</v>
      </c>
      <c r="W62"/>
      <c r="X62"/>
      <c r="Y62" s="568">
        <f>スコア!J96</f>
        <v>0</v>
      </c>
      <c r="Z62"/>
      <c r="AA62" s="86"/>
      <c r="AB62" s="86"/>
      <c r="AC62" s="828" t="e">
        <f>ROUNDDOWN(スコア!AO17,1)</f>
        <v>#VALUE!</v>
      </c>
      <c r="AD62"/>
      <c r="AE62"/>
    </row>
    <row r="63" spans="2:37" ht="6" customHeight="1" thickBot="1">
      <c r="B63" s="226"/>
      <c r="C63" s="217"/>
      <c r="D63" s="227"/>
      <c r="T63"/>
      <c r="U63"/>
      <c r="V63" s="568">
        <f>スコア!J61</f>
        <v>3</v>
      </c>
      <c r="W63"/>
      <c r="X63"/>
      <c r="Y63"/>
      <c r="Z63"/>
      <c r="AA63" s="86"/>
      <c r="AB63" s="86"/>
    </row>
    <row r="64" spans="2:37" ht="15.75">
      <c r="B64" s="189" t="s">
        <v>232</v>
      </c>
      <c r="C64" s="229"/>
      <c r="D64" s="230"/>
      <c r="E64" s="229"/>
      <c r="F64" s="229"/>
      <c r="G64" s="229"/>
      <c r="H64" s="231"/>
      <c r="I64" s="232"/>
      <c r="J64" s="229"/>
      <c r="K64" s="229"/>
      <c r="L64" s="229"/>
      <c r="M64" s="233"/>
      <c r="N64" s="233"/>
      <c r="O64" s="234"/>
      <c r="R64"/>
      <c r="S64"/>
      <c r="T64"/>
      <c r="U64"/>
      <c r="V64" s="568">
        <f>スコア!J69</f>
        <v>3</v>
      </c>
      <c r="W64"/>
      <c r="X64"/>
      <c r="Y64"/>
      <c r="Z64"/>
      <c r="AA64" s="86"/>
      <c r="AB64" s="86"/>
    </row>
    <row r="65" spans="1:28" ht="14.25">
      <c r="B65" s="235" t="s">
        <v>233</v>
      </c>
      <c r="C65" s="236"/>
      <c r="D65" s="237"/>
      <c r="E65" s="236"/>
      <c r="F65" s="236"/>
      <c r="G65" s="236"/>
      <c r="H65" s="236"/>
      <c r="I65" s="236"/>
      <c r="J65" s="236"/>
      <c r="K65" s="470"/>
      <c r="L65" s="720" t="s">
        <v>808</v>
      </c>
      <c r="M65" s="239"/>
      <c r="N65" s="239"/>
      <c r="O65" s="240"/>
      <c r="R65" s="241"/>
      <c r="S65"/>
      <c r="T65" s="86"/>
      <c r="U65" s="86"/>
      <c r="V65" s="568">
        <f>スコア!J76</f>
        <v>3</v>
      </c>
      <c r="W65" s="228"/>
      <c r="Z65" s="228"/>
      <c r="AA65" s="86"/>
      <c r="AB65" s="86"/>
    </row>
    <row r="66" spans="1:28" ht="52.5" customHeight="1">
      <c r="B66" s="890" t="str">
        <f>IF(配慮!D4=配慮!C4,"",配慮!D4)</f>
        <v/>
      </c>
      <c r="C66" s="891"/>
      <c r="D66" s="891"/>
      <c r="E66" s="891"/>
      <c r="F66" s="891"/>
      <c r="G66" s="891"/>
      <c r="H66" s="891"/>
      <c r="I66" s="891"/>
      <c r="J66" s="891"/>
      <c r="K66" s="891"/>
      <c r="L66" s="892" t="str">
        <f>IF(配慮!D11=配慮!C11,"",配慮!D11)</f>
        <v/>
      </c>
      <c r="M66" s="893"/>
      <c r="N66" s="893"/>
      <c r="O66" s="894"/>
      <c r="R66" s="86"/>
      <c r="S66"/>
      <c r="T66" s="86"/>
      <c r="U66" s="86"/>
      <c r="V66" s="228"/>
      <c r="W66" s="228"/>
      <c r="Z66" s="228"/>
      <c r="AA66" s="86"/>
      <c r="AB66" s="86"/>
    </row>
    <row r="67" spans="1:28" ht="15">
      <c r="B67" s="242" t="str">
        <f>R46</f>
        <v>Qw1 
安全・安心性</v>
      </c>
      <c r="C67" s="239"/>
      <c r="D67" s="239"/>
      <c r="E67" s="239"/>
      <c r="F67" s="239"/>
      <c r="G67" s="243"/>
      <c r="H67" s="244" t="str">
        <f>U46</f>
        <v>Qw2 
健康性・快適性</v>
      </c>
      <c r="I67" s="245"/>
      <c r="J67" s="245"/>
      <c r="K67" s="246"/>
      <c r="L67" s="247" t="str">
        <f>X46</f>
        <v>Qw3 
知的生産性向上</v>
      </c>
      <c r="M67" s="248"/>
      <c r="N67" s="249"/>
      <c r="O67" s="250"/>
      <c r="R67" s="86"/>
      <c r="S67"/>
      <c r="T67" s="86"/>
      <c r="U67" s="86"/>
      <c r="V67" s="86"/>
      <c r="W67" s="86"/>
      <c r="Z67" s="86"/>
      <c r="AA67" s="86"/>
      <c r="AB67" s="86"/>
    </row>
    <row r="68" spans="1:28" ht="50.25" customHeight="1">
      <c r="B68" s="895" t="str">
        <f>IF(配慮!D5=配慮!C5,"",配慮!D5)</f>
        <v/>
      </c>
      <c r="C68" s="893"/>
      <c r="D68" s="893"/>
      <c r="E68" s="893"/>
      <c r="F68" s="893"/>
      <c r="G68" s="896"/>
      <c r="H68" s="892" t="str">
        <f>IF(配慮!D6=配慮!C6,"",配慮!D6)</f>
        <v/>
      </c>
      <c r="I68" s="893"/>
      <c r="J68" s="893"/>
      <c r="K68" s="896"/>
      <c r="L68" s="892" t="str">
        <f>IF(配慮!D7=配慮!C7,"",配慮!D7)</f>
        <v/>
      </c>
      <c r="M68" s="893"/>
      <c r="N68" s="893"/>
      <c r="O68" s="894"/>
      <c r="R68" s="86"/>
      <c r="S68"/>
      <c r="T68" s="86"/>
      <c r="U68" s="86"/>
      <c r="V68" s="86"/>
      <c r="W68" s="86"/>
      <c r="X68" s="86"/>
      <c r="Y68" s="86"/>
      <c r="Z68" s="86"/>
      <c r="AA68" s="86"/>
      <c r="AB68" s="86"/>
    </row>
    <row r="69" spans="1:28" ht="15" hidden="1">
      <c r="B69" s="251">
        <f>AF48</f>
        <v>0</v>
      </c>
      <c r="C69" s="252"/>
      <c r="D69" s="237"/>
      <c r="E69" s="237"/>
      <c r="F69" s="237"/>
      <c r="G69" s="253"/>
      <c r="H69" s="254">
        <f>AI48</f>
        <v>0</v>
      </c>
      <c r="I69" s="239"/>
      <c r="J69" s="239"/>
      <c r="K69" s="243"/>
      <c r="L69" s="238" t="s">
        <v>234</v>
      </c>
      <c r="M69" s="252"/>
      <c r="N69" s="237"/>
      <c r="O69" s="255"/>
      <c r="R69" s="86"/>
      <c r="S69" s="86"/>
      <c r="T69" s="86"/>
      <c r="U69" s="86"/>
      <c r="V69" s="86"/>
      <c r="W69" s="86"/>
      <c r="X69" s="86"/>
      <c r="Y69" s="86"/>
      <c r="Z69" s="86"/>
      <c r="AA69" s="86"/>
      <c r="AB69" s="86"/>
    </row>
    <row r="70" spans="1:28" ht="61.5" hidden="1" customHeight="1" thickBot="1">
      <c r="B70" s="883" t="str">
        <f>IF(配慮!D8=配慮!C8,"",配慮!D8)</f>
        <v/>
      </c>
      <c r="C70" s="884"/>
      <c r="D70" s="884"/>
      <c r="E70" s="884"/>
      <c r="F70" s="884"/>
      <c r="G70" s="885"/>
      <c r="H70" s="886" t="str">
        <f>IF(配慮!C10=配慮!D10,"",配慮!D10)</f>
        <v/>
      </c>
      <c r="I70" s="884"/>
      <c r="J70" s="884"/>
      <c r="K70" s="885"/>
      <c r="L70" s="886" t="str">
        <f>IF(配慮!D11=配慮!C11,"",配慮!D11)</f>
        <v/>
      </c>
      <c r="M70" s="884"/>
      <c r="N70" s="884"/>
      <c r="O70" s="887"/>
      <c r="R70" s="86"/>
      <c r="S70" s="86"/>
      <c r="T70" s="86"/>
      <c r="U70" s="86"/>
      <c r="V70" s="86"/>
      <c r="W70" s="86"/>
      <c r="X70" s="86"/>
      <c r="Y70" s="86"/>
      <c r="Z70" s="86"/>
      <c r="AA70" s="86"/>
      <c r="AB70" s="86"/>
    </row>
    <row r="71" spans="1:28" ht="8.25" customHeight="1">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c r="B72" s="256" t="s">
        <v>235</v>
      </c>
      <c r="C72" s="257"/>
      <c r="D72" s="258"/>
      <c r="E72" s="257"/>
      <c r="F72" s="257"/>
      <c r="G72" s="257"/>
      <c r="H72" s="257"/>
      <c r="I72" s="257"/>
      <c r="J72" s="259"/>
      <c r="K72" s="260"/>
      <c r="L72" s="260"/>
      <c r="M72" s="260"/>
      <c r="N72" s="261"/>
      <c r="O72" s="262" t="s">
        <v>236</v>
      </c>
      <c r="R72" s="86"/>
      <c r="S72" s="86"/>
      <c r="T72" s="86"/>
      <c r="U72" s="86"/>
      <c r="V72" s="86"/>
      <c r="W72" s="86"/>
      <c r="X72" s="86"/>
      <c r="Y72" s="86"/>
      <c r="Z72" s="86"/>
      <c r="AA72" s="86"/>
      <c r="AB72" s="86"/>
    </row>
    <row r="73" spans="1:28" ht="15.75" hidden="1">
      <c r="B73" s="263" t="s">
        <v>121</v>
      </c>
      <c r="C73" s="264"/>
      <c r="D73" s="265"/>
      <c r="E73" s="264"/>
      <c r="F73" s="264"/>
      <c r="G73" s="264"/>
      <c r="H73" s="264"/>
      <c r="I73" s="264"/>
      <c r="J73" s="266"/>
      <c r="K73" s="267"/>
      <c r="L73" s="268"/>
      <c r="M73" s="268"/>
      <c r="N73" s="266"/>
      <c r="O73" s="269" t="s">
        <v>146</v>
      </c>
      <c r="R73" s="86"/>
      <c r="S73" s="86"/>
      <c r="T73" s="86"/>
      <c r="U73" s="86"/>
      <c r="V73" s="86"/>
      <c r="W73" s="86"/>
      <c r="X73" s="86"/>
      <c r="Y73" s="86"/>
      <c r="Z73" s="86"/>
      <c r="AA73" s="86"/>
      <c r="AB73" s="86"/>
    </row>
    <row r="74" spans="1:28" ht="14.25" hidden="1">
      <c r="B74" s="270"/>
      <c r="C74" s="271"/>
      <c r="D74" s="272"/>
      <c r="E74" s="273" t="s">
        <v>122</v>
      </c>
      <c r="F74" s="274"/>
      <c r="G74" s="274"/>
      <c r="H74" s="273" t="s">
        <v>41</v>
      </c>
      <c r="I74" s="274"/>
      <c r="J74" s="273" t="s">
        <v>90</v>
      </c>
      <c r="K74" s="275"/>
      <c r="L74" s="273" t="s">
        <v>91</v>
      </c>
      <c r="M74" s="274"/>
      <c r="N74" s="274"/>
      <c r="O74" s="276" t="s">
        <v>92</v>
      </c>
      <c r="R74" s="86"/>
      <c r="S74" s="86"/>
      <c r="T74" s="86"/>
      <c r="U74" s="86"/>
      <c r="V74" s="86"/>
      <c r="W74" s="86"/>
      <c r="X74" s="86"/>
      <c r="Y74" s="86"/>
      <c r="Z74" s="86"/>
      <c r="AA74" s="86"/>
      <c r="AB74" s="86"/>
    </row>
    <row r="75" spans="1:28" ht="14.25" hidden="1">
      <c r="B75" s="277"/>
      <c r="C75" s="278" t="s">
        <v>93</v>
      </c>
      <c r="D75" s="279"/>
      <c r="E75" s="280"/>
      <c r="F75" s="281" t="s">
        <v>94</v>
      </c>
      <c r="G75" s="282"/>
      <c r="H75" s="280"/>
      <c r="I75" s="281" t="s">
        <v>95</v>
      </c>
      <c r="J75" s="283"/>
      <c r="K75" s="281" t="s">
        <v>94</v>
      </c>
      <c r="L75" s="284"/>
      <c r="M75" s="285"/>
      <c r="N75" s="286"/>
      <c r="O75" s="287"/>
      <c r="R75" s="86"/>
      <c r="S75" s="86"/>
      <c r="T75" s="86"/>
      <c r="U75" s="86"/>
      <c r="V75" s="86"/>
      <c r="W75" s="86"/>
      <c r="X75" s="86"/>
      <c r="Y75" s="86"/>
      <c r="Z75" s="86"/>
      <c r="AA75" s="86"/>
      <c r="AB75" s="86"/>
    </row>
    <row r="76" spans="1:28" ht="15.75" hidden="1">
      <c r="B76" s="277"/>
      <c r="C76" s="288" t="s">
        <v>96</v>
      </c>
      <c r="D76" s="289"/>
      <c r="E76" s="290"/>
      <c r="F76" s="158" t="s">
        <v>97</v>
      </c>
      <c r="G76" s="158"/>
      <c r="H76" s="290"/>
      <c r="I76" s="158" t="s">
        <v>98</v>
      </c>
      <c r="J76" s="291"/>
      <c r="K76" s="158" t="s">
        <v>97</v>
      </c>
      <c r="L76" s="284"/>
      <c r="M76" s="95"/>
      <c r="N76" s="285"/>
      <c r="O76" s="292"/>
      <c r="S76" s="95"/>
      <c r="W76" s="86"/>
      <c r="X76" s="86"/>
      <c r="Y76" s="86"/>
      <c r="Z76" s="86"/>
      <c r="AA76" s="86"/>
      <c r="AB76" s="86"/>
    </row>
    <row r="77" spans="1:28" ht="14.25" hidden="1">
      <c r="A77" s="293"/>
      <c r="B77" s="294"/>
      <c r="C77" s="295" t="s">
        <v>99</v>
      </c>
      <c r="D77" s="289"/>
      <c r="E77" s="290"/>
      <c r="F77" s="282" t="s">
        <v>100</v>
      </c>
      <c r="G77" s="282"/>
      <c r="H77" s="290"/>
      <c r="I77" s="282" t="s">
        <v>101</v>
      </c>
      <c r="J77" s="291"/>
      <c r="K77" s="282" t="s">
        <v>100</v>
      </c>
      <c r="L77" s="284"/>
      <c r="M77" s="95"/>
      <c r="N77" s="296"/>
      <c r="O77" s="292"/>
      <c r="P77" s="293"/>
      <c r="S77" s="95"/>
      <c r="W77" s="86"/>
      <c r="X77" s="86"/>
      <c r="Y77" s="86"/>
      <c r="Z77" s="86"/>
      <c r="AA77" s="86"/>
      <c r="AB77" s="86"/>
    </row>
    <row r="78" spans="1:28" ht="15.75" hidden="1">
      <c r="B78" s="277"/>
      <c r="C78" s="297" t="s">
        <v>102</v>
      </c>
      <c r="D78" s="289"/>
      <c r="E78" s="290"/>
      <c r="F78" s="158" t="s">
        <v>97</v>
      </c>
      <c r="G78" s="158"/>
      <c r="H78" s="290"/>
      <c r="I78" s="158" t="s">
        <v>98</v>
      </c>
      <c r="J78" s="291"/>
      <c r="K78" s="158" t="s">
        <v>97</v>
      </c>
      <c r="L78" s="284"/>
      <c r="M78" s="95"/>
      <c r="N78" s="285"/>
      <c r="O78" s="298"/>
      <c r="S78" s="95"/>
      <c r="W78" s="86"/>
      <c r="X78" s="86"/>
      <c r="Y78" s="86"/>
      <c r="Z78" s="86"/>
      <c r="AA78" s="86"/>
      <c r="AB78" s="86"/>
    </row>
    <row r="79" spans="1:28" ht="14.25" hidden="1">
      <c r="B79" s="277"/>
      <c r="C79" s="297" t="s">
        <v>103</v>
      </c>
      <c r="D79" s="289"/>
      <c r="E79" s="290"/>
      <c r="F79" s="299" t="s">
        <v>104</v>
      </c>
      <c r="G79" s="158"/>
      <c r="H79" s="290"/>
      <c r="I79" s="299" t="s">
        <v>105</v>
      </c>
      <c r="J79" s="291"/>
      <c r="K79" s="299" t="s">
        <v>104</v>
      </c>
      <c r="L79" s="284"/>
      <c r="M79" s="95"/>
      <c r="N79" s="285"/>
      <c r="O79" s="123"/>
      <c r="S79" s="95"/>
      <c r="W79" s="86"/>
      <c r="X79" s="86"/>
      <c r="Y79" s="86"/>
      <c r="Z79" s="86"/>
      <c r="AA79" s="86"/>
      <c r="AB79" s="86"/>
    </row>
    <row r="80" spans="1:28" ht="14.25" hidden="1">
      <c r="B80" s="277"/>
      <c r="C80" s="297" t="s">
        <v>106</v>
      </c>
      <c r="D80" s="289"/>
      <c r="E80" s="290"/>
      <c r="F80" s="299" t="s">
        <v>104</v>
      </c>
      <c r="G80" s="158"/>
      <c r="H80" s="290"/>
      <c r="I80" s="299" t="s">
        <v>105</v>
      </c>
      <c r="J80" s="291"/>
      <c r="K80" s="299" t="s">
        <v>104</v>
      </c>
      <c r="L80" s="284"/>
      <c r="M80" s="95"/>
      <c r="N80" s="285"/>
      <c r="O80" s="292"/>
      <c r="S80" s="95"/>
      <c r="W80" s="86"/>
      <c r="X80" s="86"/>
      <c r="Y80" s="86"/>
      <c r="Z80" s="86"/>
      <c r="AA80" s="86"/>
      <c r="AB80" s="86"/>
    </row>
    <row r="81" spans="2:28" ht="15" hidden="1" thickBot="1">
      <c r="B81" s="300"/>
      <c r="C81" s="301"/>
      <c r="D81" s="302"/>
      <c r="E81" s="303"/>
      <c r="F81" s="304"/>
      <c r="G81" s="221"/>
      <c r="H81" s="303"/>
      <c r="I81" s="304"/>
      <c r="J81" s="305"/>
      <c r="K81" s="304"/>
      <c r="L81" s="284"/>
      <c r="M81" s="95"/>
      <c r="N81" s="306"/>
      <c r="O81" s="307"/>
      <c r="S81" s="95"/>
      <c r="W81" s="86"/>
      <c r="X81" s="86"/>
      <c r="Y81" s="86"/>
      <c r="Z81" s="86"/>
      <c r="AA81" s="86"/>
      <c r="AB81" s="86"/>
    </row>
    <row r="82" spans="2:28" ht="16.5" hidden="1" thickBot="1">
      <c r="B82" s="308" t="s">
        <v>107</v>
      </c>
      <c r="C82" s="309"/>
      <c r="D82" s="310"/>
      <c r="E82" s="311"/>
      <c r="F82" s="312"/>
      <c r="G82" s="312"/>
      <c r="H82" s="312"/>
      <c r="I82" s="312"/>
      <c r="J82" s="312"/>
      <c r="K82" s="312"/>
      <c r="L82" s="312"/>
      <c r="M82" s="312"/>
      <c r="N82" s="312"/>
      <c r="O82" s="313"/>
      <c r="S82" s="95"/>
      <c r="W82" s="86"/>
      <c r="X82" s="86"/>
      <c r="Y82" s="86"/>
      <c r="Z82" s="86"/>
      <c r="AA82" s="86"/>
      <c r="AB82" s="86"/>
    </row>
    <row r="83" spans="2:28" ht="15.75" hidden="1">
      <c r="B83" s="314" t="s">
        <v>108</v>
      </c>
      <c r="C83" s="315"/>
      <c r="D83" s="316"/>
      <c r="E83" s="317"/>
      <c r="F83" s="318"/>
      <c r="G83" s="318"/>
      <c r="H83" s="318"/>
      <c r="I83" s="316"/>
      <c r="J83" s="319" t="s">
        <v>109</v>
      </c>
      <c r="K83" s="320"/>
      <c r="L83" s="321"/>
      <c r="M83" s="315"/>
      <c r="N83" s="315"/>
      <c r="O83" s="322"/>
      <c r="S83" s="95"/>
      <c r="W83" s="86"/>
      <c r="X83" s="86"/>
      <c r="Y83" s="86"/>
      <c r="Z83" s="86"/>
      <c r="AA83" s="86"/>
      <c r="AB83" s="86"/>
    </row>
    <row r="84" spans="2:28" ht="15" hidden="1">
      <c r="B84" s="323"/>
      <c r="C84" s="324" t="s">
        <v>110</v>
      </c>
      <c r="D84" s="325"/>
      <c r="E84" s="325"/>
      <c r="F84" s="325"/>
      <c r="G84" s="325"/>
      <c r="H84" s="325"/>
      <c r="I84" s="325"/>
      <c r="J84" s="326" t="s">
        <v>111</v>
      </c>
      <c r="K84" s="95"/>
      <c r="L84" s="327"/>
      <c r="M84" s="95"/>
      <c r="N84" s="95"/>
      <c r="O84" s="137"/>
      <c r="S84" s="95"/>
      <c r="W84" s="86"/>
      <c r="X84" s="86"/>
      <c r="Y84" s="86"/>
      <c r="Z84" s="86"/>
      <c r="AA84" s="86"/>
      <c r="AB84" s="86"/>
    </row>
    <row r="85" spans="2:28" ht="15" hidden="1">
      <c r="B85" s="323"/>
      <c r="C85" s="324"/>
      <c r="D85" s="325"/>
      <c r="E85" s="325"/>
      <c r="F85" s="325"/>
      <c r="G85" s="325"/>
      <c r="H85" s="325"/>
      <c r="I85" s="325"/>
      <c r="J85" s="326"/>
      <c r="K85" s="95"/>
      <c r="L85" s="327"/>
      <c r="M85" s="95"/>
      <c r="N85" s="95"/>
      <c r="O85" s="137"/>
      <c r="S85" s="95"/>
      <c r="W85" s="86"/>
      <c r="X85" s="86"/>
      <c r="Y85" s="86"/>
      <c r="Z85" s="86"/>
      <c r="AA85" s="86"/>
      <c r="AB85" s="86"/>
    </row>
    <row r="86" spans="2:28" ht="15" hidden="1" thickBot="1">
      <c r="B86" s="328"/>
      <c r="C86" s="329"/>
      <c r="D86" s="330"/>
      <c r="E86" s="330"/>
      <c r="F86" s="330"/>
      <c r="G86" s="330"/>
      <c r="H86" s="330"/>
      <c r="I86" s="330"/>
      <c r="J86" s="331"/>
      <c r="K86" s="178"/>
      <c r="L86" s="332"/>
      <c r="M86" s="332"/>
      <c r="N86" s="332"/>
      <c r="O86" s="333"/>
      <c r="S86" s="95"/>
    </row>
    <row r="87" spans="2:28" ht="14.25" hidden="1">
      <c r="B87" s="158"/>
      <c r="C87" s="158"/>
      <c r="D87" s="215"/>
      <c r="E87" s="158"/>
      <c r="S87" s="95"/>
    </row>
    <row r="88" spans="2:28" ht="14.25" hidden="1">
      <c r="B88" s="334"/>
      <c r="C88" s="335"/>
      <c r="D88" s="336"/>
      <c r="E88" s="337"/>
      <c r="F88" s="337"/>
      <c r="G88" s="337"/>
      <c r="H88" s="337"/>
      <c r="I88" s="338"/>
      <c r="J88" s="339"/>
      <c r="K88" s="338"/>
      <c r="L88" s="340"/>
      <c r="M88" s="338"/>
      <c r="N88" s="341"/>
      <c r="O88" s="342"/>
      <c r="S88" s="95"/>
    </row>
    <row r="89" spans="2:28" ht="14.25" hidden="1">
      <c r="B89" s="343"/>
      <c r="C89" s="344" t="s">
        <v>112</v>
      </c>
      <c r="D89" s="345" t="s">
        <v>147</v>
      </c>
      <c r="E89" s="346" t="s">
        <v>148</v>
      </c>
      <c r="G89" s="95"/>
      <c r="H89" s="346" t="s">
        <v>149</v>
      </c>
      <c r="J89" s="346" t="s">
        <v>150</v>
      </c>
      <c r="L89" s="346" t="s">
        <v>151</v>
      </c>
      <c r="N89" s="345" t="s">
        <v>152</v>
      </c>
      <c r="O89" s="347"/>
      <c r="S89" s="95"/>
    </row>
    <row r="90" spans="2:28" ht="14.25" hidden="1">
      <c r="B90" s="343"/>
      <c r="C90" s="344" t="s">
        <v>244</v>
      </c>
      <c r="D90" s="348" t="s">
        <v>225</v>
      </c>
      <c r="E90" s="349"/>
      <c r="F90" s="350"/>
      <c r="G90" s="350"/>
      <c r="H90" s="350"/>
      <c r="I90" s="351"/>
      <c r="J90" s="351"/>
      <c r="K90" s="352"/>
      <c r="L90" s="352"/>
      <c r="O90" s="353"/>
    </row>
    <row r="91" spans="2:28" ht="14.25" hidden="1">
      <c r="B91" s="343"/>
      <c r="C91" s="344"/>
      <c r="D91" s="348"/>
      <c r="E91" s="349"/>
      <c r="F91" s="350"/>
      <c r="G91" s="350"/>
      <c r="H91" s="350"/>
      <c r="I91" s="351"/>
      <c r="J91" s="351"/>
      <c r="K91" s="352"/>
      <c r="L91" s="352"/>
      <c r="O91" s="353"/>
    </row>
    <row r="92" spans="2:28" ht="14.25" hidden="1">
      <c r="B92" s="355"/>
      <c r="C92" s="344" t="s">
        <v>226</v>
      </c>
      <c r="D92" s="348" t="s">
        <v>227</v>
      </c>
      <c r="E92" s="348"/>
      <c r="G92" s="356"/>
      <c r="O92" s="353"/>
    </row>
    <row r="93" spans="2:28" ht="14.25" hidden="1">
      <c r="B93" s="355"/>
      <c r="C93" s="344"/>
      <c r="D93" s="348" t="s">
        <v>228</v>
      </c>
      <c r="E93" s="348"/>
      <c r="G93" s="356"/>
      <c r="O93" s="353"/>
    </row>
    <row r="94" spans="2:28" ht="14.25" hidden="1">
      <c r="B94" s="357"/>
      <c r="C94" s="358" t="s">
        <v>229</v>
      </c>
      <c r="D94" s="359" t="s">
        <v>153</v>
      </c>
      <c r="E94" s="360"/>
      <c r="F94" s="361"/>
      <c r="G94" s="362"/>
      <c r="H94" s="361"/>
      <c r="I94" s="363"/>
      <c r="J94" s="363"/>
      <c r="K94" s="361"/>
      <c r="L94" s="361"/>
      <c r="M94" s="364"/>
      <c r="N94" s="364"/>
      <c r="O94" s="365"/>
    </row>
    <row r="95" spans="2:28" ht="14.25" hidden="1">
      <c r="G95" s="356"/>
    </row>
    <row r="96" spans="2:28" ht="14.25" hidden="1">
      <c r="G96" s="356"/>
      <c r="L96" s="356"/>
    </row>
    <row r="97" spans="2:12" ht="14.25" hidden="1">
      <c r="E97" s="122"/>
      <c r="F97" s="356"/>
      <c r="G97" s="356"/>
      <c r="H97" s="356"/>
      <c r="I97" s="352"/>
      <c r="L97" s="356"/>
    </row>
    <row r="98" spans="2:12" ht="14.25" hidden="1">
      <c r="C98" s="366"/>
      <c r="D98" s="216"/>
      <c r="E98" s="122"/>
      <c r="F98" s="356"/>
      <c r="G98" s="356"/>
      <c r="H98" s="356"/>
      <c r="I98" s="352"/>
      <c r="J98" s="352"/>
      <c r="K98" s="356"/>
      <c r="L98" s="356"/>
    </row>
    <row r="99" spans="2:12" ht="14.25" hidden="1">
      <c r="B99" s="367"/>
      <c r="C99" s="368"/>
      <c r="D99" s="369"/>
      <c r="E99" s="122"/>
      <c r="F99" s="356"/>
      <c r="G99" s="350"/>
      <c r="H99" s="350"/>
      <c r="I99" s="351"/>
      <c r="J99" s="351"/>
      <c r="K99" s="352"/>
      <c r="L99" s="352"/>
    </row>
    <row r="100" spans="2:12" ht="14.25" hidden="1">
      <c r="B100" s="367"/>
      <c r="C100" s="367"/>
      <c r="D100" s="370"/>
      <c r="G100" s="350"/>
      <c r="H100" s="350"/>
      <c r="I100" s="351"/>
      <c r="J100" s="351"/>
      <c r="K100" s="352"/>
      <c r="L100" s="352"/>
    </row>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68:K68"/>
    <mergeCell ref="L68:O68"/>
    <mergeCell ref="D14:E14"/>
    <mergeCell ref="J12:K12"/>
  </mergeCells>
  <phoneticPr fontId="23"/>
  <hyperlinks>
    <hyperlink ref="Q2" location="メイン!A1" display="戻る" xr:uid="{00000000-0004-0000-0200-000000000000}"/>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864F-AC6A-4C9C-8E71-150ACD1B44C9}">
  <sheetPr>
    <pageSetUpPr fitToPage="1"/>
  </sheetPr>
  <dimension ref="A1:AK213"/>
  <sheetViews>
    <sheetView showGridLines="0" topLeftCell="A48" zoomScale="85" zoomScaleNormal="85" zoomScaleSheetLayoutView="50" workbookViewId="0">
      <selection activeCell="Q9" sqref="Q9"/>
    </sheetView>
  </sheetViews>
  <sheetFormatPr defaultColWidth="0" defaultRowHeight="0" customHeight="1" zeroHeight="1"/>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37.125" style="95" hidden="1" customWidth="1"/>
    <col min="19" max="19" width="14" style="354"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7.375" style="95" hidden="1" customWidth="1"/>
    <col min="32" max="32" width="5" style="95" hidden="1" customWidth="1"/>
    <col min="33" max="33" width="5.125" style="95" hidden="1" customWidth="1"/>
    <col min="34" max="16384" width="9" style="95" hidden="1"/>
  </cols>
  <sheetData>
    <row r="1" spans="1:29" s="84" customFormat="1" ht="6" customHeight="1" thickBot="1">
      <c r="A1" s="77"/>
      <c r="B1" s="78"/>
      <c r="C1" s="79"/>
      <c r="D1" s="80"/>
      <c r="E1" s="77"/>
      <c r="F1" s="81"/>
      <c r="G1" s="81"/>
      <c r="H1" s="81"/>
      <c r="I1" s="82"/>
      <c r="J1" s="82"/>
      <c r="K1" s="81"/>
      <c r="L1" s="83"/>
      <c r="M1" s="77"/>
      <c r="N1" s="77"/>
      <c r="O1" s="77"/>
      <c r="P1" s="77"/>
      <c r="Q1" s="77"/>
      <c r="S1" s="85"/>
    </row>
    <row r="2" spans="1:29" ht="18.75" customHeight="1" thickTop="1">
      <c r="B2" s="87"/>
      <c r="C2" s="88"/>
      <c r="D2" s="89"/>
      <c r="E2" s="90"/>
      <c r="F2" s="91"/>
      <c r="G2" s="91"/>
      <c r="H2" s="91"/>
      <c r="I2" s="92"/>
      <c r="J2" s="93"/>
      <c r="K2" s="93"/>
      <c r="L2" s="93"/>
      <c r="M2" s="93"/>
      <c r="N2" s="91"/>
      <c r="O2" s="94"/>
      <c r="Q2" s="877" t="s">
        <v>173</v>
      </c>
      <c r="S2" s="95"/>
    </row>
    <row r="3" spans="1:29" ht="18.75" customHeight="1">
      <c r="B3" s="87"/>
      <c r="C3" s="88"/>
      <c r="D3" s="89"/>
      <c r="E3" s="90"/>
      <c r="F3" s="91"/>
      <c r="G3" s="91"/>
      <c r="H3" s="91"/>
      <c r="I3" s="92"/>
      <c r="J3" s="93"/>
      <c r="K3" s="93"/>
      <c r="L3" s="93"/>
      <c r="M3" s="93"/>
      <c r="N3" s="91"/>
      <c r="O3" s="96"/>
      <c r="Q3" s="878"/>
      <c r="S3" s="95"/>
    </row>
    <row r="4" spans="1:29" ht="18.75" customHeight="1">
      <c r="B4" s="87"/>
      <c r="C4" s="88"/>
      <c r="D4" s="89"/>
      <c r="E4" s="90"/>
      <c r="F4" s="91"/>
      <c r="G4" s="91"/>
      <c r="H4" s="91"/>
      <c r="I4" s="97"/>
      <c r="J4" s="93"/>
      <c r="K4" s="93"/>
      <c r="L4" s="93"/>
      <c r="M4" s="93"/>
      <c r="N4" s="91"/>
      <c r="O4" s="94"/>
      <c r="Q4" s="878"/>
      <c r="S4" s="95"/>
    </row>
    <row r="5" spans="1:29" ht="13.5" customHeight="1" thickBot="1">
      <c r="B5" s="98"/>
      <c r="C5" s="99"/>
      <c r="D5" s="89"/>
      <c r="E5" s="90"/>
      <c r="F5" s="91"/>
      <c r="G5" s="91"/>
      <c r="H5" s="91"/>
      <c r="I5" s="717"/>
      <c r="J5" s="718" t="s">
        <v>172</v>
      </c>
      <c r="K5" s="880" t="str">
        <f>メイン!C6</f>
        <v>CASBEE-ウェルネスオフィス2025年版</v>
      </c>
      <c r="L5" s="881"/>
      <c r="M5" s="718" t="s">
        <v>174</v>
      </c>
      <c r="N5" s="880" t="str">
        <f>メイン!C5</f>
        <v>CASBEE-WO_2025v1.0</v>
      </c>
      <c r="O5" s="882"/>
      <c r="Q5" s="879"/>
      <c r="R5" s="113" t="s">
        <v>176</v>
      </c>
      <c r="S5" s="95"/>
      <c r="U5" s="113" t="s">
        <v>177</v>
      </c>
    </row>
    <row r="6" spans="1:29" ht="6" customHeight="1" thickTop="1" thickBot="1">
      <c r="B6" s="100"/>
      <c r="J6" s="106"/>
      <c r="K6" s="106"/>
      <c r="L6" s="107"/>
      <c r="M6" s="103"/>
      <c r="N6" s="103"/>
      <c r="O6" s="103"/>
      <c r="S6" s="95"/>
    </row>
    <row r="7" spans="1:29" ht="19.5" customHeight="1" thickBot="1">
      <c r="B7" s="108" t="s">
        <v>175</v>
      </c>
      <c r="C7" s="109"/>
      <c r="D7" s="110"/>
      <c r="E7" s="109"/>
      <c r="F7" s="109"/>
      <c r="G7" s="109"/>
      <c r="H7" s="111"/>
      <c r="I7" s="112"/>
      <c r="J7" s="112"/>
      <c r="K7" s="112"/>
      <c r="L7" s="655" t="s">
        <v>452</v>
      </c>
      <c r="M7" s="656"/>
      <c r="N7" s="656"/>
      <c r="O7" s="657"/>
      <c r="R7"/>
      <c r="S7"/>
      <c r="U7" s="124"/>
      <c r="V7" s="124" t="s">
        <v>180</v>
      </c>
      <c r="W7" s="125" t="s">
        <v>221</v>
      </c>
      <c r="X7" s="125">
        <v>4</v>
      </c>
      <c r="Y7" s="125">
        <v>2</v>
      </c>
      <c r="Z7" s="126" t="s">
        <v>134</v>
      </c>
      <c r="AA7" s="127" t="s">
        <v>223</v>
      </c>
    </row>
    <row r="8" spans="1:29" ht="19.5" customHeight="1" thickBot="1">
      <c r="B8" s="114" t="s">
        <v>178</v>
      </c>
      <c r="C8" s="115"/>
      <c r="D8" s="116" t="str">
        <f>メイン!C11</f>
        <v>○○ビル</v>
      </c>
      <c r="E8" s="115"/>
      <c r="F8" s="115"/>
      <c r="G8" s="117"/>
      <c r="H8" s="118" t="s">
        <v>179</v>
      </c>
      <c r="I8" s="119"/>
      <c r="J8" s="120" t="str">
        <f>メイン!C22</f>
        <v>地上○○F</v>
      </c>
      <c r="K8" s="121"/>
      <c r="L8" s="465" t="s">
        <v>219</v>
      </c>
      <c r="M8" s="122">
        <f>メイン!C46</f>
        <v>0</v>
      </c>
      <c r="N8" s="391"/>
      <c r="O8" s="123"/>
      <c r="R8"/>
      <c r="S8"/>
      <c r="U8" s="126" t="s">
        <v>361</v>
      </c>
      <c r="V8" s="833" t="s">
        <v>1051</v>
      </c>
      <c r="W8" s="125">
        <v>5</v>
      </c>
      <c r="X8" s="125">
        <v>4</v>
      </c>
      <c r="Y8" s="125">
        <v>2</v>
      </c>
      <c r="Z8" s="138">
        <f>スコア!I102</f>
        <v>3</v>
      </c>
      <c r="AA8" s="127">
        <v>3</v>
      </c>
    </row>
    <row r="9" spans="1:29" ht="19.5" customHeight="1">
      <c r="B9" s="128" t="s">
        <v>182</v>
      </c>
      <c r="C9" s="129"/>
      <c r="D9" s="130" t="str">
        <f>メイン!C12</f>
        <v>○○県○○市</v>
      </c>
      <c r="E9" s="129"/>
      <c r="F9" s="131"/>
      <c r="G9" s="95"/>
      <c r="H9" s="132" t="s">
        <v>183</v>
      </c>
      <c r="I9" s="133"/>
      <c r="J9" s="134">
        <f>メイン!C23</f>
        <v>0</v>
      </c>
      <c r="K9" s="135"/>
      <c r="L9" s="658" t="s">
        <v>294</v>
      </c>
      <c r="M9" s="659"/>
      <c r="N9" s="659"/>
      <c r="O9" s="660"/>
      <c r="R9" s="1" t="s">
        <v>367</v>
      </c>
      <c r="S9" s="1">
        <f>スコア!J95</f>
        <v>3</v>
      </c>
      <c r="U9" s="126" t="s">
        <v>362</v>
      </c>
      <c r="V9" s="833" t="s">
        <v>1052</v>
      </c>
      <c r="W9" s="125">
        <v>5</v>
      </c>
      <c r="X9" s="125">
        <v>4</v>
      </c>
      <c r="Y9" s="125">
        <v>2</v>
      </c>
      <c r="Z9" s="138">
        <f>スコア!I111</f>
        <v>3</v>
      </c>
      <c r="AA9" s="127">
        <v>3</v>
      </c>
    </row>
    <row r="10" spans="1:29" ht="18.75" customHeight="1">
      <c r="B10" s="128" t="s">
        <v>10</v>
      </c>
      <c r="C10" s="139"/>
      <c r="D10" s="130" t="str">
        <f>メイン!C14</f>
        <v>商業地域、防火地域</v>
      </c>
      <c r="E10" s="139"/>
      <c r="F10" s="139"/>
      <c r="G10" s="95"/>
      <c r="H10" s="118" t="s">
        <v>184</v>
      </c>
      <c r="I10" s="119"/>
      <c r="J10" s="140" t="str">
        <f>メイン!C32</f>
        <v>XX</v>
      </c>
      <c r="K10" s="131" t="s">
        <v>185</v>
      </c>
      <c r="L10" s="141"/>
      <c r="M10" s="142"/>
      <c r="N10" s="142"/>
      <c r="O10" s="143"/>
      <c r="R10" s="1" t="s">
        <v>368</v>
      </c>
      <c r="S10" s="1">
        <f>(S9-1)*25</f>
        <v>50</v>
      </c>
      <c r="U10" s="126" t="s">
        <v>360</v>
      </c>
      <c r="V10" s="833" t="s">
        <v>1050</v>
      </c>
      <c r="W10" s="125">
        <v>5</v>
      </c>
      <c r="X10" s="125">
        <v>4</v>
      </c>
      <c r="Y10" s="125">
        <v>2</v>
      </c>
      <c r="Z10" s="138">
        <f>スコア!I96</f>
        <v>3</v>
      </c>
      <c r="AA10" s="127">
        <v>3</v>
      </c>
    </row>
    <row r="11" spans="1:29" ht="18.75" customHeight="1">
      <c r="B11" s="145" t="s">
        <v>248</v>
      </c>
      <c r="C11" s="146"/>
      <c r="D11" s="134" t="str">
        <f>IF(メイン!F12="","",メイン!F12)</f>
        <v/>
      </c>
      <c r="E11" s="146"/>
      <c r="F11" s="147"/>
      <c r="G11" s="148"/>
      <c r="H11" s="132" t="str">
        <f>IF(メイン!I3=3,メイン!J33,メイン!I33)</f>
        <v>年間使用時間</v>
      </c>
      <c r="I11" s="133"/>
      <c r="J11" s="149" t="str">
        <f>IF(メイン!I3=3,メイン!C34,メイン!C33)</f>
        <v>XXX</v>
      </c>
      <c r="K11" s="460" t="str">
        <f>IF(メイン!I3=3,メイン!D34,メイン!D33)</f>
        <v>時間/年（想定値）</v>
      </c>
      <c r="L11" s="141"/>
      <c r="M11" s="142"/>
      <c r="N11" s="142"/>
      <c r="O11" s="143"/>
      <c r="R11" s="1" t="s">
        <v>369</v>
      </c>
      <c r="S11" s="1">
        <f>IF(S10&gt;H30,5,IF(S10&gt;=H31,4,IF(S10&gt;=H32,3,IF(S10&gt;=H33,2,1))))</f>
        <v>3</v>
      </c>
      <c r="U11" s="1" t="s">
        <v>439</v>
      </c>
      <c r="V11" s="1"/>
      <c r="W11" s="1"/>
      <c r="X11" s="1"/>
      <c r="Y11" s="1"/>
      <c r="Z11" s="1"/>
      <c r="AA11" s="1"/>
    </row>
    <row r="12" spans="1:29" ht="18.75" customHeight="1">
      <c r="B12" s="150" t="s">
        <v>186</v>
      </c>
      <c r="C12" s="151"/>
      <c r="D12" s="152" t="str">
        <f>メイン!C20</f>
        <v>○○</v>
      </c>
      <c r="E12" s="151"/>
      <c r="F12" s="151"/>
      <c r="G12" s="153"/>
      <c r="H12" s="132" t="s">
        <v>187</v>
      </c>
      <c r="I12" s="154"/>
      <c r="J12" s="899" t="str">
        <f>IF(メイン!C45=0,"",メイン!C45&amp;"評価")</f>
        <v/>
      </c>
      <c r="K12" s="900"/>
      <c r="L12" s="141"/>
      <c r="M12" s="155" t="s">
        <v>188</v>
      </c>
      <c r="N12" s="142"/>
      <c r="O12" s="143"/>
      <c r="R12" s="1" t="s">
        <v>372</v>
      </c>
      <c r="S12" s="1" t="str">
        <f>IF(S11=5,"S",IF(S11=4,"A",IF(S11=3,"B+",IF(S11=2,"B-","C"))))</f>
        <v>B+</v>
      </c>
    </row>
    <row r="13" spans="1:29" ht="14.25">
      <c r="B13" s="442" t="s">
        <v>42</v>
      </c>
      <c r="C13" s="443"/>
      <c r="D13" s="888" t="str">
        <f>メイン!C15</f>
        <v>2020年●月</v>
      </c>
      <c r="E13" s="889"/>
      <c r="F13" s="444">
        <f>メイン!F15</f>
        <v>0</v>
      </c>
      <c r="G13" s="445"/>
      <c r="H13" s="118" t="s">
        <v>43</v>
      </c>
      <c r="I13" s="156"/>
      <c r="J13" s="157" t="str">
        <f>IF(メイン!C39=0,"",メイン!C39)</f>
        <v>201●年●月●日</v>
      </c>
      <c r="K13" s="158"/>
      <c r="L13" s="141"/>
      <c r="M13" s="159" t="s">
        <v>245</v>
      </c>
      <c r="N13" s="142"/>
      <c r="O13" s="143"/>
      <c r="R13" s="1"/>
      <c r="S13" s="1"/>
      <c r="AB13"/>
      <c r="AC13"/>
    </row>
    <row r="14" spans="1:29" ht="14.25" hidden="1">
      <c r="B14" s="438" t="s">
        <v>257</v>
      </c>
      <c r="C14" s="121"/>
      <c r="D14" s="897" t="str">
        <f>メイン!C16</f>
        <v>2016年６月～８月</v>
      </c>
      <c r="E14" s="898"/>
      <c r="F14"/>
      <c r="G14"/>
      <c r="H14" s="118"/>
      <c r="I14" s="156"/>
      <c r="J14" s="157"/>
      <c r="K14" s="158"/>
      <c r="L14" s="141"/>
      <c r="M14" s="159"/>
      <c r="N14" s="142"/>
      <c r="O14" s="143"/>
      <c r="R14" s="1"/>
      <c r="S14" s="1"/>
      <c r="U14"/>
      <c r="V14"/>
      <c r="W14"/>
      <c r="X14"/>
      <c r="Y14"/>
      <c r="Z14"/>
      <c r="AA14"/>
      <c r="AB14"/>
      <c r="AC14"/>
    </row>
    <row r="15" spans="1:29" ht="14.25">
      <c r="B15" s="446" t="s">
        <v>44</v>
      </c>
      <c r="C15" s="447"/>
      <c r="D15" s="448"/>
      <c r="E15" s="449" t="str">
        <f>メイン!C17</f>
        <v>XXX</v>
      </c>
      <c r="F15" s="444" t="s">
        <v>75</v>
      </c>
      <c r="G15" s="445"/>
      <c r="H15" s="118" t="s">
        <v>45</v>
      </c>
      <c r="I15" s="156"/>
      <c r="J15" s="164" t="str">
        <f>IF(メイン!C40=0,"",メイン!C40)</f>
        <v>○○○</v>
      </c>
      <c r="K15" s="158"/>
      <c r="L15" s="141"/>
      <c r="M15" s="159" t="s">
        <v>246</v>
      </c>
      <c r="N15" s="142"/>
      <c r="O15" s="143"/>
      <c r="R15" s="126" t="s">
        <v>494</v>
      </c>
      <c r="S15" s="165">
        <f>S11/5</f>
        <v>0.6</v>
      </c>
      <c r="U15"/>
      <c r="V15"/>
      <c r="W15"/>
      <c r="X15"/>
      <c r="Y15"/>
      <c r="Z15"/>
      <c r="AA15"/>
      <c r="AB15"/>
      <c r="AC15"/>
    </row>
    <row r="16" spans="1:29" ht="18.75" customHeight="1">
      <c r="B16" s="118" t="s">
        <v>46</v>
      </c>
      <c r="C16" s="160"/>
      <c r="D16" s="161"/>
      <c r="E16" s="162" t="str">
        <f>メイン!C18</f>
        <v>XXX</v>
      </c>
      <c r="F16" s="163" t="s">
        <v>75</v>
      </c>
      <c r="G16" s="95"/>
      <c r="H16" s="118" t="s">
        <v>47</v>
      </c>
      <c r="I16" s="156"/>
      <c r="J16" s="157" t="str">
        <f>IF(メイン!C41=0,"",メイン!C41)</f>
        <v>201●年●月●日</v>
      </c>
      <c r="K16" s="158"/>
      <c r="L16" s="141"/>
      <c r="M16" s="142"/>
      <c r="N16" s="142"/>
      <c r="O16" s="143"/>
      <c r="R16" s="126" t="s">
        <v>50</v>
      </c>
      <c r="S16" s="171">
        <f>1-S15</f>
        <v>0.4</v>
      </c>
      <c r="V16" s="86"/>
      <c r="Z16" s="86"/>
    </row>
    <row r="17" spans="2:36" ht="18" customHeight="1" thickBot="1">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6" ht="15" hidden="1" thickBot="1">
      <c r="B18" s="437" t="s">
        <v>51</v>
      </c>
      <c r="C18" s="95"/>
      <c r="D18" s="439" t="s">
        <v>250</v>
      </c>
      <c r="E18"/>
      <c r="F18"/>
      <c r="G18"/>
      <c r="H18"/>
      <c r="I18"/>
      <c r="J18"/>
      <c r="K18"/>
      <c r="L18" s="173" t="s">
        <v>52</v>
      </c>
      <c r="M18" s="174" t="s">
        <v>53</v>
      </c>
      <c r="N18" s="439" t="s">
        <v>250</v>
      </c>
      <c r="O18" s="137"/>
      <c r="R18" s="86"/>
      <c r="S18" s="86"/>
      <c r="T18" s="86"/>
      <c r="U18" s="86"/>
      <c r="V18" s="86"/>
      <c r="W18" s="86"/>
      <c r="X18" s="86"/>
      <c r="Y18" s="86"/>
      <c r="Z18" s="86"/>
      <c r="AA18" s="86"/>
      <c r="AB18" s="86"/>
    </row>
    <row r="19" spans="2:36" ht="15" hidden="1" thickBot="1">
      <c r="B19" s="437" t="s">
        <v>54</v>
      </c>
      <c r="C19" s="175"/>
      <c r="D19" s="439" t="s">
        <v>250</v>
      </c>
      <c r="E19"/>
      <c r="F19"/>
      <c r="G19"/>
      <c r="H19"/>
      <c r="I19"/>
      <c r="J19"/>
      <c r="K19"/>
      <c r="L19" s="176"/>
      <c r="M19" s="174" t="s">
        <v>55</v>
      </c>
      <c r="N19" s="439" t="s">
        <v>250</v>
      </c>
      <c r="O19" s="177"/>
      <c r="R19" s="167"/>
      <c r="S19" s="119"/>
      <c r="T19" s="86"/>
      <c r="U19" s="86"/>
      <c r="V19" s="119"/>
      <c r="W19" s="122"/>
      <c r="X19" s="86"/>
      <c r="Y19" s="86"/>
      <c r="Z19" s="86"/>
      <c r="AA19" s="86"/>
      <c r="AB19" s="86"/>
    </row>
    <row r="20" spans="2:36" ht="15" hidden="1" thickBot="1">
      <c r="B20" s="437" t="s">
        <v>56</v>
      </c>
      <c r="C20" s="119"/>
      <c r="D20" s="439" t="s">
        <v>250</v>
      </c>
      <c r="E20"/>
      <c r="F20"/>
      <c r="G20"/>
      <c r="H20"/>
      <c r="I20"/>
      <c r="J20"/>
      <c r="K20"/>
      <c r="L20" s="176"/>
      <c r="M20" s="174" t="s">
        <v>57</v>
      </c>
      <c r="N20" s="439" t="s">
        <v>250</v>
      </c>
      <c r="O20" s="177"/>
      <c r="R20" s="167"/>
      <c r="S20" s="119"/>
      <c r="T20" s="86"/>
      <c r="U20" s="86"/>
      <c r="V20" s="119"/>
      <c r="W20" s="122"/>
      <c r="X20" s="86"/>
      <c r="Y20" s="86"/>
      <c r="Z20" s="86"/>
      <c r="AA20" s="86"/>
      <c r="AB20" s="86"/>
    </row>
    <row r="21" spans="2:36" ht="15" hidden="1" thickBot="1">
      <c r="B21" s="437" t="s">
        <v>58</v>
      </c>
      <c r="C21" s="139"/>
      <c r="D21" s="439" t="s">
        <v>250</v>
      </c>
      <c r="E21"/>
      <c r="F21"/>
      <c r="G21"/>
      <c r="H21"/>
      <c r="I21"/>
      <c r="J21"/>
      <c r="K21"/>
      <c r="L21" s="180"/>
      <c r="M21" s="181" t="s">
        <v>59</v>
      </c>
      <c r="N21" s="439" t="s">
        <v>250</v>
      </c>
      <c r="O21" s="182"/>
      <c r="R21" s="167"/>
      <c r="S21" s="119"/>
      <c r="T21" s="86"/>
      <c r="U21" s="86"/>
      <c r="V21" s="119"/>
      <c r="W21" s="122"/>
      <c r="X21" s="86"/>
      <c r="Y21" s="86"/>
      <c r="Z21" s="86"/>
      <c r="AA21" s="86"/>
      <c r="AB21" s="86"/>
    </row>
    <row r="22" spans="2:36" ht="6.75" customHeight="1" thickBot="1">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6" ht="18.75" thickBot="1">
      <c r="B23" s="189" t="s">
        <v>979</v>
      </c>
      <c r="C23" s="190"/>
      <c r="D23" s="191"/>
      <c r="E23" s="192"/>
      <c r="F23" s="192"/>
      <c r="G23" s="192"/>
      <c r="H23" s="192"/>
      <c r="I23" s="192"/>
      <c r="J23" s="661" t="s">
        <v>980</v>
      </c>
      <c r="K23" s="662"/>
      <c r="L23" s="662"/>
      <c r="M23" s="662"/>
      <c r="N23" s="663"/>
      <c r="O23" s="664"/>
      <c r="R23"/>
      <c r="S23"/>
      <c r="T23"/>
      <c r="U23"/>
      <c r="V23"/>
      <c r="W23"/>
      <c r="X23"/>
      <c r="Y23"/>
      <c r="Z23"/>
      <c r="AA23"/>
      <c r="AB23"/>
      <c r="AC23"/>
      <c r="AD23"/>
      <c r="AE23"/>
      <c r="AF23"/>
      <c r="AG23"/>
      <c r="AH23"/>
      <c r="AI23"/>
      <c r="AJ23"/>
    </row>
    <row r="24" spans="2:36" ht="15" customHeight="1">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c r="AJ24"/>
    </row>
    <row r="25" spans="2:36" ht="24" customHeight="1">
      <c r="B25" s="193"/>
      <c r="C25" s="469" t="s">
        <v>371</v>
      </c>
      <c r="D25" s="832" t="str">
        <f>S12</f>
        <v>B+</v>
      </c>
      <c r="E25" s="95"/>
      <c r="F25" s="194">
        <f>S10</f>
        <v>50</v>
      </c>
      <c r="G25" s="413" t="s">
        <v>370</v>
      </c>
      <c r="H25"/>
      <c r="I25"/>
      <c r="J25" s="195"/>
      <c r="K25" s="95"/>
      <c r="L25" s="95"/>
      <c r="M25" s="625"/>
      <c r="N25" s="849"/>
      <c r="O25" s="137"/>
      <c r="P25" s="95"/>
      <c r="Q25" s="95"/>
      <c r="R25"/>
      <c r="S25"/>
      <c r="T25"/>
      <c r="U25"/>
      <c r="V25"/>
      <c r="W25"/>
      <c r="X25"/>
      <c r="Y25"/>
      <c r="Z25"/>
      <c r="AA25"/>
      <c r="AB25"/>
      <c r="AC25"/>
      <c r="AD25"/>
      <c r="AE25"/>
      <c r="AF25"/>
      <c r="AG25"/>
      <c r="AH25"/>
      <c r="AI25"/>
      <c r="AJ25"/>
    </row>
    <row r="26" spans="2:36" ht="15" customHeight="1">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c r="AJ26"/>
    </row>
    <row r="27" spans="2:36" ht="15" customHeight="1">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c r="AJ27"/>
    </row>
    <row r="28" spans="2:36" ht="15" customHeight="1">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c r="AJ28"/>
    </row>
    <row r="29" spans="2:36" ht="15" customHeight="1">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c r="AJ29"/>
    </row>
    <row r="30" spans="2:36" ht="15" customHeight="1">
      <c r="B30" s="136"/>
      <c r="C30" s="95"/>
      <c r="D30" s="466" t="s">
        <v>981</v>
      </c>
      <c r="E30" s="95"/>
      <c r="F30" s="95"/>
      <c r="G30" s="467" t="s">
        <v>519</v>
      </c>
      <c r="H30" s="468">
        <v>75</v>
      </c>
      <c r="I30"/>
      <c r="J30" s="196"/>
      <c r="K30" s="197"/>
      <c r="L30" s="95"/>
      <c r="M30" s="95"/>
      <c r="N30" s="198"/>
      <c r="O30" s="199"/>
      <c r="P30" s="95"/>
      <c r="Q30" s="95"/>
      <c r="R30"/>
      <c r="S30"/>
      <c r="T30"/>
      <c r="U30"/>
      <c r="V30"/>
      <c r="W30"/>
      <c r="X30"/>
      <c r="Y30"/>
      <c r="Z30"/>
      <c r="AA30"/>
      <c r="AB30"/>
      <c r="AC30"/>
      <c r="AD30"/>
      <c r="AE30"/>
      <c r="AF30"/>
      <c r="AG30"/>
      <c r="AH30"/>
      <c r="AI30"/>
      <c r="AJ30"/>
    </row>
    <row r="31" spans="2:36" ht="15" customHeight="1">
      <c r="B31" s="136"/>
      <c r="C31" s="95"/>
      <c r="D31" s="466" t="s">
        <v>982</v>
      </c>
      <c r="E31" s="95"/>
      <c r="F31" s="95"/>
      <c r="G31" s="467" t="s">
        <v>365</v>
      </c>
      <c r="H31" s="468">
        <v>65</v>
      </c>
      <c r="I31"/>
      <c r="J31" s="196"/>
      <c r="K31" s="197"/>
      <c r="L31" s="95"/>
      <c r="M31" s="95"/>
      <c r="N31" s="198"/>
      <c r="O31" s="199"/>
      <c r="P31" s="95"/>
      <c r="Q31" s="95"/>
      <c r="R31"/>
      <c r="S31"/>
      <c r="T31"/>
      <c r="U31"/>
      <c r="V31"/>
      <c r="W31"/>
      <c r="X31"/>
      <c r="Y31"/>
      <c r="Z31"/>
      <c r="AA31"/>
      <c r="AB31"/>
      <c r="AC31"/>
      <c r="AD31"/>
      <c r="AE31"/>
      <c r="AF31"/>
      <c r="AG31"/>
      <c r="AH31"/>
      <c r="AI31"/>
      <c r="AJ31"/>
    </row>
    <row r="32" spans="2:36" ht="15" customHeight="1">
      <c r="B32" s="136"/>
      <c r="C32" s="95"/>
      <c r="D32" s="466" t="s">
        <v>983</v>
      </c>
      <c r="E32" s="95"/>
      <c r="F32" s="95"/>
      <c r="G32" s="467" t="s">
        <v>365</v>
      </c>
      <c r="H32" s="468">
        <v>50</v>
      </c>
      <c r="I32"/>
      <c r="J32" s="196"/>
      <c r="K32" s="197"/>
      <c r="L32" s="95"/>
      <c r="M32" s="95"/>
      <c r="N32" s="198"/>
      <c r="O32" s="199"/>
      <c r="P32" s="95"/>
      <c r="Q32" s="95"/>
      <c r="R32"/>
      <c r="S32"/>
      <c r="T32"/>
      <c r="U32"/>
      <c r="V32"/>
      <c r="W32"/>
      <c r="X32"/>
      <c r="Y32"/>
      <c r="Z32"/>
      <c r="AA32"/>
      <c r="AB32"/>
      <c r="AC32"/>
      <c r="AD32"/>
      <c r="AE32"/>
      <c r="AF32"/>
      <c r="AG32"/>
      <c r="AH32"/>
      <c r="AI32"/>
      <c r="AJ32"/>
    </row>
    <row r="33" spans="2:37" ht="15" customHeight="1">
      <c r="B33" s="136"/>
      <c r="C33" s="95"/>
      <c r="D33" s="466" t="s">
        <v>984</v>
      </c>
      <c r="E33" s="95"/>
      <c r="F33" s="95"/>
      <c r="G33" s="467" t="s">
        <v>365</v>
      </c>
      <c r="H33" s="468">
        <v>40</v>
      </c>
      <c r="I33"/>
      <c r="J33" s="196"/>
      <c r="K33" s="197"/>
      <c r="L33" s="95"/>
      <c r="M33" s="95"/>
      <c r="N33" s="198"/>
      <c r="O33" s="199"/>
      <c r="P33" s="95"/>
      <c r="Q33" s="95"/>
      <c r="R33"/>
      <c r="S33"/>
      <c r="T33"/>
      <c r="U33"/>
      <c r="V33"/>
      <c r="W33"/>
      <c r="X33"/>
      <c r="Y33"/>
      <c r="Z33"/>
      <c r="AA33"/>
      <c r="AB33"/>
      <c r="AC33"/>
      <c r="AD33"/>
      <c r="AE33"/>
      <c r="AF33"/>
      <c r="AG33"/>
      <c r="AH33"/>
      <c r="AI33"/>
      <c r="AJ33"/>
    </row>
    <row r="34" spans="2:37" ht="15" customHeight="1">
      <c r="B34" s="136"/>
      <c r="C34" s="95"/>
      <c r="D34" s="466" t="s">
        <v>985</v>
      </c>
      <c r="E34" s="95"/>
      <c r="F34" s="95"/>
      <c r="G34" s="467" t="s">
        <v>366</v>
      </c>
      <c r="H34" s="468">
        <v>40</v>
      </c>
      <c r="I34"/>
      <c r="J34" s="196"/>
      <c r="K34" s="197"/>
      <c r="L34" s="95"/>
      <c r="M34" s="95"/>
      <c r="N34" s="198"/>
      <c r="O34" s="199"/>
      <c r="P34" s="95"/>
      <c r="Q34" s="95"/>
      <c r="R34"/>
      <c r="S34"/>
      <c r="T34"/>
      <c r="U34"/>
      <c r="V34"/>
      <c r="W34"/>
      <c r="X34"/>
      <c r="Y34"/>
      <c r="Z34"/>
      <c r="AA34"/>
      <c r="AB34" s="86"/>
    </row>
    <row r="35" spans="2:37" ht="15" customHeight="1">
      <c r="B35" s="136"/>
      <c r="C35" s="95"/>
      <c r="D35" s="95"/>
      <c r="E35" s="95"/>
      <c r="F35" s="95"/>
      <c r="G35" s="95"/>
      <c r="H35" s="95"/>
      <c r="I35"/>
      <c r="J35" s="196"/>
      <c r="K35" s="95"/>
      <c r="L35" s="95"/>
      <c r="M35" s="95"/>
      <c r="N35" s="95"/>
      <c r="O35" s="137"/>
      <c r="P35" s="95"/>
      <c r="Q35" s="95"/>
      <c r="R35"/>
      <c r="S35"/>
      <c r="T35"/>
      <c r="U35"/>
      <c r="V35"/>
      <c r="W35"/>
      <c r="X35"/>
      <c r="Y35"/>
      <c r="Z35"/>
      <c r="AA35"/>
      <c r="AB35" s="86"/>
    </row>
    <row r="36" spans="2:37" ht="15.75" hidden="1" customHeight="1">
      <c r="B36" s="136"/>
      <c r="C36" s="95"/>
      <c r="D36" s="95"/>
      <c r="E36" s="95"/>
      <c r="F36" s="95"/>
      <c r="G36" s="95"/>
      <c r="H36" s="95"/>
      <c r="I36"/>
      <c r="J36" s="196"/>
      <c r="K36" s="95"/>
      <c r="L36" s="95"/>
      <c r="M36" s="95"/>
      <c r="N36" s="200"/>
      <c r="O36" s="137"/>
      <c r="P36" s="95"/>
      <c r="Q36" s="95"/>
      <c r="R36"/>
      <c r="S36"/>
      <c r="T36"/>
      <c r="U36"/>
      <c r="V36"/>
      <c r="W36"/>
      <c r="X36"/>
      <c r="Y36"/>
      <c r="Z36"/>
      <c r="AA36"/>
      <c r="AB36" s="86"/>
    </row>
    <row r="37" spans="2:37" ht="15.75" hidden="1" customHeight="1">
      <c r="B37" s="136"/>
      <c r="C37" s="95"/>
      <c r="D37" s="95"/>
      <c r="E37" s="95"/>
      <c r="F37" s="95"/>
      <c r="G37" s="95"/>
      <c r="H37" s="95"/>
      <c r="I37"/>
      <c r="J37" s="196"/>
      <c r="K37" s="95"/>
      <c r="L37" s="95"/>
      <c r="M37" s="95"/>
      <c r="N37" s="201"/>
      <c r="O37" s="137"/>
      <c r="P37" s="95"/>
      <c r="Q37" s="95"/>
      <c r="R37"/>
      <c r="S37"/>
      <c r="T37"/>
      <c r="U37"/>
      <c r="V37"/>
      <c r="W37"/>
      <c r="X37"/>
      <c r="Y37"/>
      <c r="Z37"/>
      <c r="AA37"/>
      <c r="AB37" s="86"/>
    </row>
    <row r="38" spans="2:37" ht="15.75" hidden="1" customHeight="1">
      <c r="B38" s="136"/>
      <c r="C38" s="81"/>
      <c r="D38" s="95"/>
      <c r="E38" s="95"/>
      <c r="F38" s="95"/>
      <c r="G38" s="95"/>
      <c r="H38" s="95"/>
      <c r="I38"/>
      <c r="J38" s="136"/>
      <c r="K38" s="202"/>
      <c r="L38" s="95"/>
      <c r="M38" s="95"/>
      <c r="N38" s="95"/>
      <c r="O38" s="137"/>
      <c r="P38" s="95"/>
      <c r="Q38" s="95"/>
      <c r="R38"/>
      <c r="S38"/>
      <c r="T38"/>
      <c r="U38"/>
      <c r="V38"/>
      <c r="W38"/>
      <c r="X38"/>
      <c r="Y38"/>
      <c r="Z38"/>
      <c r="AA38"/>
      <c r="AB38" s="86"/>
    </row>
    <row r="39" spans="2:37" ht="15" customHeight="1" thickBot="1">
      <c r="B39" s="203"/>
      <c r="C39" s="178"/>
      <c r="D39" s="178"/>
      <c r="E39" s="552"/>
      <c r="F39" s="178"/>
      <c r="G39" s="178"/>
      <c r="H39"/>
      <c r="I39"/>
      <c r="J39" s="852"/>
      <c r="K39" s="853"/>
      <c r="L39" s="95"/>
      <c r="M39" s="95"/>
      <c r="N39" s="850"/>
      <c r="O39" s="851"/>
      <c r="P39" s="95"/>
      <c r="Q39" s="95"/>
      <c r="R39"/>
      <c r="S39"/>
      <c r="T39"/>
      <c r="U39"/>
      <c r="V39"/>
      <c r="W39"/>
      <c r="X39"/>
      <c r="Y39"/>
      <c r="Z39"/>
      <c r="AA39"/>
    </row>
    <row r="40" spans="2:37" ht="18" customHeight="1" thickBot="1">
      <c r="B40" s="206" t="s">
        <v>1049</v>
      </c>
      <c r="C40" s="207"/>
      <c r="D40" s="208"/>
      <c r="E40" s="207"/>
      <c r="F40" s="207"/>
      <c r="G40" s="207"/>
      <c r="H40" s="209"/>
      <c r="I40" s="210"/>
      <c r="J40" s="207"/>
      <c r="K40" s="207"/>
      <c r="L40" s="207"/>
      <c r="M40" s="211"/>
      <c r="N40" s="211"/>
      <c r="O40" s="212"/>
      <c r="R40"/>
      <c r="S40"/>
      <c r="T40"/>
      <c r="U40"/>
      <c r="V40"/>
      <c r="W40"/>
      <c r="X40"/>
      <c r="Y40"/>
      <c r="Z40"/>
      <c r="AA40"/>
    </row>
    <row r="41" spans="2:37" ht="14.25">
      <c r="B41" s="846"/>
      <c r="C41" s="236"/>
      <c r="D41" s="237"/>
      <c r="E41" s="236"/>
      <c r="F41" s="236"/>
      <c r="G41" s="236"/>
      <c r="H41" s="236"/>
      <c r="I41" s="236"/>
      <c r="J41" s="236"/>
      <c r="K41" s="470"/>
      <c r="L41" s="238"/>
      <c r="M41" s="239"/>
      <c r="N41" s="239"/>
      <c r="O41" s="240"/>
      <c r="R41"/>
      <c r="S41"/>
      <c r="T41"/>
      <c r="U41"/>
      <c r="V41"/>
      <c r="W41"/>
      <c r="X41"/>
      <c r="Y41"/>
      <c r="Z41"/>
      <c r="AA41"/>
    </row>
    <row r="42" spans="2:37" ht="15">
      <c r="B42" s="136"/>
      <c r="C42" s="845" t="str">
        <f>R46</f>
        <v>① 飛沫感染対策として有効に働く項目</v>
      </c>
      <c r="D42" s="466"/>
      <c r="E42" s="466"/>
      <c r="F42" s="466"/>
      <c r="G42" s="466"/>
      <c r="H42" s="466"/>
      <c r="I42" s="845" t="str">
        <f>U46</f>
        <v>② 空気感染対策として有効に働く項目</v>
      </c>
      <c r="J42" s="466"/>
      <c r="K42" s="466"/>
      <c r="L42" s="619"/>
      <c r="M42" s="466"/>
      <c r="N42" s="466"/>
      <c r="O42" s="620"/>
      <c r="R42"/>
      <c r="S42"/>
      <c r="T42"/>
      <c r="U42"/>
      <c r="V42"/>
      <c r="W42"/>
      <c r="X42"/>
      <c r="Y42"/>
      <c r="Z42"/>
      <c r="AA42"/>
    </row>
    <row r="43" spans="2:37" ht="15" customHeight="1">
      <c r="B43" s="136"/>
      <c r="C43" s="466"/>
      <c r="D43" s="466"/>
      <c r="E43" s="466"/>
      <c r="F43" s="466"/>
      <c r="G43" s="621" t="s">
        <v>496</v>
      </c>
      <c r="H43" s="627">
        <f>S46</f>
        <v>3</v>
      </c>
      <c r="I43" s="466"/>
      <c r="L43" s="466"/>
      <c r="M43" s="625" t="s">
        <v>496</v>
      </c>
      <c r="N43" s="627">
        <f>V46</f>
        <v>3</v>
      </c>
      <c r="O43" s="626"/>
      <c r="R43"/>
      <c r="S43"/>
      <c r="T43"/>
      <c r="U43"/>
      <c r="V43"/>
      <c r="W43"/>
      <c r="X43"/>
      <c r="Y43"/>
      <c r="Z43"/>
      <c r="AA43"/>
    </row>
    <row r="44" spans="2:37" ht="15" customHeight="1">
      <c r="B44" s="136"/>
      <c r="C44" s="466"/>
      <c r="D44" s="466"/>
      <c r="E44" s="466"/>
      <c r="F44" s="466"/>
      <c r="G44" s="466"/>
      <c r="H44" s="466"/>
      <c r="I44" s="466"/>
      <c r="J44" s="466"/>
      <c r="K44" s="466"/>
      <c r="L44" s="466"/>
      <c r="M44" s="466"/>
      <c r="N44" s="466"/>
      <c r="O44" s="620"/>
      <c r="S44" s="95"/>
      <c r="AA44" s="86"/>
      <c r="AB44" s="86"/>
      <c r="AC44" s="213"/>
      <c r="AG44" s="213"/>
      <c r="AH44" s="213"/>
      <c r="AJ44" s="213"/>
    </row>
    <row r="45" spans="2:37" ht="15" customHeight="1">
      <c r="B45" s="136"/>
      <c r="C45" s="466"/>
      <c r="D45" s="466"/>
      <c r="E45" s="466"/>
      <c r="F45" s="466"/>
      <c r="G45" s="466"/>
      <c r="H45" s="466"/>
      <c r="I45" s="466"/>
      <c r="J45" s="466"/>
      <c r="K45" s="466"/>
      <c r="L45" s="466"/>
      <c r="M45" s="466"/>
      <c r="N45" s="466"/>
      <c r="O45" s="620"/>
      <c r="R45" s="1"/>
      <c r="S45" s="1" t="s">
        <v>134</v>
      </c>
      <c r="T45" s="1" t="s">
        <v>74</v>
      </c>
      <c r="U45" s="1"/>
      <c r="V45" s="1" t="s">
        <v>134</v>
      </c>
      <c r="W45" s="1" t="s">
        <v>74</v>
      </c>
      <c r="X45" s="1"/>
      <c r="Y45" s="1" t="s">
        <v>134</v>
      </c>
      <c r="Z45" s="1" t="s">
        <v>74</v>
      </c>
      <c r="AA45" s="86"/>
      <c r="AB45" s="86"/>
    </row>
    <row r="46" spans="2:37" ht="15" customHeight="1">
      <c r="B46" s="136"/>
      <c r="C46" s="466"/>
      <c r="D46" s="466"/>
      <c r="E46" s="466"/>
      <c r="F46" s="466"/>
      <c r="G46" s="466"/>
      <c r="H46" s="466"/>
      <c r="I46" s="466"/>
      <c r="J46" s="466"/>
      <c r="K46" s="466"/>
      <c r="L46" s="466"/>
      <c r="M46" s="466"/>
      <c r="N46" s="466"/>
      <c r="O46" s="620"/>
      <c r="R46" s="1" t="str">
        <f>スコア!B96</f>
        <v>① 飛沫感染対策として有効に働く項目</v>
      </c>
      <c r="S46" s="568">
        <f>スコア!I96</f>
        <v>3</v>
      </c>
      <c r="T46" s="568">
        <f>スコア!O96</f>
        <v>3.0000000000000004</v>
      </c>
      <c r="U46" s="1" t="str">
        <f>スコア!B102</f>
        <v>② 空気感染対策として有効に働く項目</v>
      </c>
      <c r="V46" s="568">
        <f>スコア!I102</f>
        <v>3</v>
      </c>
      <c r="W46" s="568">
        <f>スコア!O102</f>
        <v>3.0000000000000004</v>
      </c>
      <c r="X46" s="1" t="str">
        <f>スコア!B111</f>
        <v>③ その他、感染症流行時に有効に働く項目</v>
      </c>
      <c r="Y46" s="568">
        <f>スコア!I111</f>
        <v>3</v>
      </c>
      <c r="Z46" s="568">
        <f>スコア!O111</f>
        <v>3</v>
      </c>
      <c r="AA46" s="86"/>
      <c r="AB46" s="86"/>
    </row>
    <row r="47" spans="2:37" ht="15" customHeight="1">
      <c r="B47" s="136"/>
      <c r="C47" s="466"/>
      <c r="D47" s="466"/>
      <c r="E47" s="466"/>
      <c r="F47" s="466"/>
      <c r="G47" s="466"/>
      <c r="H47" s="466"/>
      <c r="I47" s="466"/>
      <c r="J47" s="466"/>
      <c r="K47" s="466"/>
      <c r="L47" s="466"/>
      <c r="M47" s="466"/>
      <c r="N47" s="466"/>
      <c r="O47" s="620"/>
      <c r="S47" s="95"/>
      <c r="AA47" s="86"/>
      <c r="AB47"/>
      <c r="AC47"/>
      <c r="AD47"/>
      <c r="AF47" s="1"/>
      <c r="AG47" s="1" t="s">
        <v>134</v>
      </c>
      <c r="AH47" s="1" t="s">
        <v>74</v>
      </c>
      <c r="AI47" s="1"/>
      <c r="AJ47" s="1" t="s">
        <v>134</v>
      </c>
      <c r="AK47" s="1" t="s">
        <v>74</v>
      </c>
    </row>
    <row r="48" spans="2:37" ht="15" customHeight="1">
      <c r="B48" s="136"/>
      <c r="C48" s="466"/>
      <c r="D48" s="466"/>
      <c r="E48" s="466"/>
      <c r="F48" s="466"/>
      <c r="G48" s="466"/>
      <c r="H48" s="466"/>
      <c r="I48" s="466"/>
      <c r="J48" s="466"/>
      <c r="K48" s="466"/>
      <c r="L48" s="466"/>
      <c r="M48" s="466"/>
      <c r="N48" s="466"/>
      <c r="O48" s="620"/>
      <c r="R48" s="1"/>
      <c r="S48" s="1" t="s">
        <v>134</v>
      </c>
      <c r="T48" s="1" t="s">
        <v>135</v>
      </c>
      <c r="U48" s="1"/>
      <c r="V48" s="1" t="s">
        <v>134</v>
      </c>
      <c r="W48" s="1" t="s">
        <v>135</v>
      </c>
      <c r="X48" s="1"/>
      <c r="Y48" s="1" t="s">
        <v>134</v>
      </c>
      <c r="Z48" s="1" t="s">
        <v>135</v>
      </c>
      <c r="AA48" s="86"/>
      <c r="AB48" s="95" t="s">
        <v>453</v>
      </c>
      <c r="AC48"/>
      <c r="AD48"/>
      <c r="AF48" s="1"/>
      <c r="AG48" s="568">
        <f>スコア!J91</f>
        <v>0</v>
      </c>
      <c r="AH48" s="568">
        <f>スコア!O91</f>
        <v>0</v>
      </c>
      <c r="AI48" s="1"/>
      <c r="AJ48" s="568">
        <f>スコア!J92</f>
        <v>0</v>
      </c>
      <c r="AK48" s="568">
        <f>スコア!O92</f>
        <v>0</v>
      </c>
    </row>
    <row r="49" spans="2:37" ht="15" customHeight="1">
      <c r="B49" s="136"/>
      <c r="C49" s="466"/>
      <c r="D49" s="466"/>
      <c r="E49" s="466"/>
      <c r="F49" s="466"/>
      <c r="G49" s="466"/>
      <c r="H49" s="466"/>
      <c r="I49" s="466"/>
      <c r="J49" s="466"/>
      <c r="K49" s="466"/>
      <c r="L49" s="466"/>
      <c r="M49" s="466"/>
      <c r="N49" s="466"/>
      <c r="O49" s="620"/>
      <c r="R49" s="1" t="str">
        <f>スコア!L97</f>
        <v>空間の形状・自由さ</v>
      </c>
      <c r="S49" s="568">
        <f>IF(スコア!F97="-",0,スコア!F97)</f>
        <v>3</v>
      </c>
      <c r="T49" s="1" t="str">
        <f>IF(S49=0,"N.A.","")</f>
        <v/>
      </c>
      <c r="U49" s="1" t="str">
        <f>スコア!L103</f>
        <v>空調方式および個別制御性</v>
      </c>
      <c r="V49" s="568">
        <f>IF(スコア!F103="-",0,スコア!F103)</f>
        <v>3</v>
      </c>
      <c r="W49" s="1" t="str">
        <f>IF(V49=0,"N.A.","")</f>
        <v/>
      </c>
      <c r="X49" s="1" t="str">
        <f>スコア!L112</f>
        <v>設備機器の区画別運用の可変性</v>
      </c>
      <c r="Y49" s="568">
        <f>IF(スコア!IF112="-",0,スコア!F112)</f>
        <v>3</v>
      </c>
      <c r="Z49" s="1" t="str">
        <f>IF(Y49=0,"N.A.","")</f>
        <v/>
      </c>
      <c r="AA49" s="86"/>
      <c r="AC49" s="1" t="s">
        <v>134</v>
      </c>
      <c r="AD49" s="1" t="s">
        <v>135</v>
      </c>
      <c r="AI49" s="848" t="s">
        <v>1030</v>
      </c>
      <c r="AJ49" s="219"/>
    </row>
    <row r="50" spans="2:37" ht="15" customHeight="1">
      <c r="B50" s="136"/>
      <c r="C50" s="466"/>
      <c r="D50" s="466"/>
      <c r="E50" s="466"/>
      <c r="F50" s="466"/>
      <c r="G50" s="466"/>
      <c r="H50" s="466"/>
      <c r="I50" s="466"/>
      <c r="J50" s="466"/>
      <c r="K50" s="466"/>
      <c r="L50" s="466"/>
      <c r="M50" s="466"/>
      <c r="N50" s="466"/>
      <c r="O50" s="620"/>
      <c r="R50" s="1" t="str">
        <f>スコア!L98</f>
        <v>広さ</v>
      </c>
      <c r="S50" s="568">
        <f>IF(スコア!F98="-",0,スコア!F98)</f>
        <v>3</v>
      </c>
      <c r="T50" s="1" t="str">
        <f t="shared" ref="T50:T53" si="0">IF(S50=0,"N.A.","")</f>
        <v/>
      </c>
      <c r="U50" s="1" t="str">
        <f>スコア!L104</f>
        <v>換気量</v>
      </c>
      <c r="V50" s="568">
        <f>IF(スコア!F104="-",0,スコア!F104)</f>
        <v>3</v>
      </c>
      <c r="W50" s="1" t="str">
        <f t="shared" ref="W50:W56" si="1">IF(V50=0,"N.A.","")</f>
        <v/>
      </c>
      <c r="X50" s="1" t="str">
        <f>スコア!L113</f>
        <v>情報共有インフラ</v>
      </c>
      <c r="Y50" s="568">
        <f>IF(スコア!IF113="-",0,スコア!F113)</f>
        <v>3</v>
      </c>
      <c r="Z50" s="1" t="str">
        <f>IF(Y50=0,"N.A.","")</f>
        <v/>
      </c>
      <c r="AA50" s="86"/>
      <c r="AB50" s="559" t="s">
        <v>442</v>
      </c>
      <c r="AC50" s="831">
        <f>ROUNDDOWN(スコア!AL8,1)</f>
        <v>3</v>
      </c>
      <c r="AD50" s="1" t="str">
        <f>IF(AC50=0,"N.A.","")</f>
        <v/>
      </c>
      <c r="AF50" s="1"/>
      <c r="AG50" s="1" t="s">
        <v>134</v>
      </c>
      <c r="AH50" s="1" t="s">
        <v>135</v>
      </c>
      <c r="AI50" s="1"/>
      <c r="AJ50" s="1" t="s">
        <v>134</v>
      </c>
      <c r="AK50" s="1" t="s">
        <v>135</v>
      </c>
    </row>
    <row r="51" spans="2:37" ht="15" customHeight="1">
      <c r="B51" s="136"/>
      <c r="C51" s="466"/>
      <c r="D51" s="466"/>
      <c r="E51" s="466"/>
      <c r="F51" s="466"/>
      <c r="G51" s="466"/>
      <c r="H51" s="466"/>
      <c r="I51" s="466"/>
      <c r="J51" s="466"/>
      <c r="K51" s="466"/>
      <c r="L51" s="466"/>
      <c r="M51" s="466"/>
      <c r="N51" s="466"/>
      <c r="O51" s="620"/>
      <c r="R51" s="1" t="str">
        <f>スコア!L99</f>
        <v>ＯＡ機器等の充実度</v>
      </c>
      <c r="S51" s="568">
        <f>IF(スコア!F99="-",0,スコア!F99)</f>
        <v>3</v>
      </c>
      <c r="T51" s="1" t="str">
        <f t="shared" si="0"/>
        <v/>
      </c>
      <c r="U51" s="1" t="str">
        <f>スコア!L105</f>
        <v>自然換気性能</v>
      </c>
      <c r="V51" s="568">
        <f>IF(スコア!F105="-",0,スコア!F105)</f>
        <v>3</v>
      </c>
      <c r="W51" s="1" t="str">
        <f t="shared" si="1"/>
        <v/>
      </c>
      <c r="X51" s="1" t="str">
        <f>スコア!L114</f>
        <v>健康維持・増進プログラム</v>
      </c>
      <c r="Y51" s="568">
        <f>IF(スコア!IF114="-",0,スコア!F114)</f>
        <v>3</v>
      </c>
      <c r="Z51" s="1" t="str">
        <f>IF(Y51=0,"N.A.","")</f>
        <v/>
      </c>
      <c r="AA51" s="86"/>
      <c r="AB51" s="559" t="s">
        <v>443</v>
      </c>
      <c r="AC51" s="831">
        <f>ROUNDDOWN(スコア!AM8,1)</f>
        <v>3</v>
      </c>
      <c r="AD51" s="1" t="str">
        <f t="shared" ref="AD51:AD53" si="2">IF(AC51=0,"N.A.","")</f>
        <v/>
      </c>
      <c r="AF51" s="1"/>
      <c r="AG51" s="568"/>
      <c r="AH51" s="830" t="str">
        <f t="shared" ref="AH51:AH52" si="3">IF(AG51=0,"N.A.","")</f>
        <v>N.A.</v>
      </c>
      <c r="AI51" s="1" t="s">
        <v>976</v>
      </c>
      <c r="AJ51" s="568">
        <f>ROUNDDOWN(スコア!AS94,1)</f>
        <v>3</v>
      </c>
      <c r="AK51" s="1" t="str">
        <f>IF(AJ51=0,"N.A.","")</f>
        <v/>
      </c>
    </row>
    <row r="52" spans="2:37" ht="18" customHeight="1">
      <c r="B52" s="623"/>
      <c r="C52" s="236"/>
      <c r="D52" s="237"/>
      <c r="E52" s="236"/>
      <c r="F52" s="236"/>
      <c r="G52" s="236"/>
      <c r="H52" s="236"/>
      <c r="I52" s="847"/>
      <c r="J52" s="236"/>
      <c r="K52" s="470"/>
      <c r="L52" s="844"/>
      <c r="M52" s="239"/>
      <c r="N52" s="239"/>
      <c r="O52" s="240"/>
      <c r="R52" s="1" t="str">
        <f>スコア!L100</f>
        <v>高度情報通信インフラ</v>
      </c>
      <c r="S52" s="568">
        <f>IF(スコア!F100="-",0,スコア!F100)</f>
        <v>3</v>
      </c>
      <c r="T52" s="1" t="str">
        <f t="shared" si="0"/>
        <v/>
      </c>
      <c r="U52" s="1" t="str">
        <f>スコア!L106</f>
        <v>維持管理用機能の確保</v>
      </c>
      <c r="V52" s="568">
        <f>IF(スコア!F106="-",0,スコア!F106)</f>
        <v>3</v>
      </c>
      <c r="W52" s="1" t="str">
        <f t="shared" si="1"/>
        <v/>
      </c>
      <c r="X52" s="1"/>
      <c r="Y52" s="568"/>
      <c r="Z52" s="1" t="str">
        <f>IF(Y52=0,"N.A.","")</f>
        <v>N.A.</v>
      </c>
      <c r="AA52" s="86"/>
      <c r="AB52" s="559" t="s">
        <v>444</v>
      </c>
      <c r="AC52" s="831">
        <f>ROUNDDOWN(スコア!AN8,1)</f>
        <v>3</v>
      </c>
      <c r="AD52" s="1" t="str">
        <f t="shared" si="2"/>
        <v/>
      </c>
      <c r="AF52" s="1"/>
      <c r="AG52" s="568"/>
      <c r="AH52" s="830" t="str">
        <f t="shared" si="3"/>
        <v>N.A.</v>
      </c>
      <c r="AI52" s="1" t="s">
        <v>977</v>
      </c>
      <c r="AJ52" s="568">
        <f>ROUNDDOWN(スコア!AR97,1)</f>
        <v>3</v>
      </c>
      <c r="AK52" s="1" t="str">
        <f>IF(AJ52=0,"N.A.","")</f>
        <v/>
      </c>
    </row>
    <row r="53" spans="2:37" ht="15">
      <c r="B53" s="136"/>
      <c r="C53" s="845" t="str">
        <f>X46</f>
        <v>③ その他、感染症流行時に有効に働く項目</v>
      </c>
      <c r="D53" s="466"/>
      <c r="E53" s="466"/>
      <c r="F53" s="466"/>
      <c r="G53" s="466"/>
      <c r="H53" s="466"/>
      <c r="I53" s="848"/>
      <c r="J53" s="466"/>
      <c r="K53" s="466"/>
      <c r="L53" s="379"/>
      <c r="M53" s="466"/>
      <c r="N53" s="466"/>
      <c r="O53" s="620"/>
      <c r="R53" s="1" t="str">
        <f>スコア!L101</f>
        <v>健康維持・増進プログラム</v>
      </c>
      <c r="S53" s="568">
        <f>IF(スコア!F101="-",0,スコア!F101)</f>
        <v>3</v>
      </c>
      <c r="T53" s="1" t="str">
        <f t="shared" si="0"/>
        <v/>
      </c>
      <c r="U53" s="1" t="str">
        <f>スコア!L107</f>
        <v>維持保全計画</v>
      </c>
      <c r="V53" s="568">
        <f>IF(スコア!F107="-",0,スコア!F107)</f>
        <v>3</v>
      </c>
      <c r="W53" s="1" t="str">
        <f t="shared" si="1"/>
        <v/>
      </c>
      <c r="X53" s="1"/>
      <c r="Y53" s="568"/>
      <c r="Z53" s="1" t="str">
        <f>IF(Y53=0,"N.A.","")</f>
        <v>N.A.</v>
      </c>
      <c r="AA53" s="86"/>
      <c r="AB53" s="560" t="s">
        <v>445</v>
      </c>
      <c r="AC53" s="831">
        <f>ROUNDDOWN(スコア!AO8,1)</f>
        <v>3</v>
      </c>
      <c r="AD53" s="1" t="str">
        <f t="shared" si="2"/>
        <v/>
      </c>
      <c r="AF53" s="1"/>
      <c r="AG53" s="568"/>
      <c r="AH53" s="830" t="str">
        <f>IF(AG53=0,"N.A.","")</f>
        <v>N.A.</v>
      </c>
      <c r="AI53" s="1" t="s">
        <v>978</v>
      </c>
      <c r="AJ53" s="568">
        <f>ROUNDDOWN(スコア!AR98,1)</f>
        <v>3</v>
      </c>
      <c r="AK53" s="1" t="str">
        <f>IF(AJ53=0,"N.A.","")</f>
        <v/>
      </c>
    </row>
    <row r="54" spans="2:37" ht="14.25">
      <c r="B54" s="214"/>
      <c r="C54" s="466"/>
      <c r="D54" s="466"/>
      <c r="E54" s="466"/>
      <c r="G54" s="625" t="s">
        <v>500</v>
      </c>
      <c r="H54" s="627">
        <f>Y46</f>
        <v>3</v>
      </c>
      <c r="I54" s="624"/>
      <c r="J54" s="625"/>
      <c r="K54" s="627"/>
      <c r="L54" s="466"/>
      <c r="M54" s="466"/>
      <c r="N54" s="466"/>
      <c r="O54" s="620"/>
      <c r="S54"/>
      <c r="U54" s="1" t="str">
        <f>スコア!L108</f>
        <v>定期調査・検査報告書</v>
      </c>
      <c r="V54" s="568">
        <f>IF(スコア!F108="-",0,スコア!F108)</f>
        <v>3</v>
      </c>
      <c r="W54" s="1" t="str">
        <f t="shared" si="1"/>
        <v/>
      </c>
      <c r="AA54" s="86"/>
      <c r="AB54" s="86"/>
    </row>
    <row r="55" spans="2:37" ht="14.25">
      <c r="B55" s="214"/>
      <c r="C55" s="466"/>
      <c r="D55" s="466"/>
      <c r="E55" s="466"/>
      <c r="F55" s="466"/>
      <c r="G55" s="466"/>
      <c r="H55" s="466"/>
      <c r="I55" s="624"/>
      <c r="J55" s="466"/>
      <c r="K55" s="466"/>
      <c r="L55" s="466"/>
      <c r="M55" s="466"/>
      <c r="N55" s="466"/>
      <c r="O55" s="620"/>
      <c r="S55"/>
      <c r="U55" s="1" t="str">
        <f>スコア!L109</f>
        <v>維持管理レベル</v>
      </c>
      <c r="V55" s="568">
        <f>IF(スコア!F109="-",0,スコア!F109)</f>
        <v>3</v>
      </c>
      <c r="W55" s="1" t="str">
        <f t="shared" si="1"/>
        <v/>
      </c>
      <c r="AA55" s="86"/>
      <c r="AB55" s="86"/>
    </row>
    <row r="56" spans="2:37" ht="15.75" customHeight="1">
      <c r="B56" s="214"/>
      <c r="C56"/>
      <c r="F56"/>
      <c r="G56"/>
      <c r="H56"/>
      <c r="I56" s="556"/>
      <c r="J56"/>
      <c r="K56"/>
      <c r="L56"/>
      <c r="M56"/>
      <c r="N56"/>
      <c r="O56" s="622"/>
      <c r="S56"/>
      <c r="U56" s="1" t="str">
        <f>スコア!L110</f>
        <v>健康維持・増進プログラム</v>
      </c>
      <c r="V56" s="568">
        <f>IF(スコア!F110="-",0,スコア!F110)</f>
        <v>3</v>
      </c>
      <c r="W56" s="1" t="str">
        <f t="shared" si="1"/>
        <v/>
      </c>
      <c r="AA56" s="86"/>
      <c r="AB56" s="86"/>
    </row>
    <row r="57" spans="2:37" ht="15.75" customHeight="1">
      <c r="B57" s="214"/>
      <c r="C57"/>
      <c r="D57"/>
      <c r="E57"/>
      <c r="F57"/>
      <c r="G57"/>
      <c r="H57"/>
      <c r="I57" s="556"/>
      <c r="J57"/>
      <c r="K57"/>
      <c r="L57"/>
      <c r="M57"/>
      <c r="N57"/>
      <c r="O57" s="622"/>
      <c r="S57"/>
      <c r="Z57"/>
      <c r="AA57"/>
      <c r="AB57"/>
      <c r="AC57"/>
    </row>
    <row r="58" spans="2:37" ht="15.75" customHeight="1">
      <c r="B58" s="218"/>
      <c r="I58" s="609"/>
      <c r="J58" s="749"/>
      <c r="O58" s="123"/>
      <c r="S58"/>
      <c r="U58"/>
      <c r="V58"/>
      <c r="W58"/>
      <c r="X58"/>
      <c r="Y58"/>
      <c r="Z58"/>
      <c r="AA58"/>
      <c r="AB58"/>
      <c r="AC58"/>
      <c r="AD58"/>
    </row>
    <row r="59" spans="2:37" ht="15.75" customHeight="1">
      <c r="B59" s="218"/>
      <c r="I59" s="609"/>
      <c r="O59" s="123"/>
      <c r="S59"/>
      <c r="T59"/>
      <c r="U59"/>
      <c r="V59"/>
      <c r="W59"/>
      <c r="X59"/>
      <c r="Y59"/>
      <c r="Z59"/>
      <c r="AA59"/>
      <c r="AB59"/>
      <c r="AC59"/>
      <c r="AD59"/>
    </row>
    <row r="60" spans="2:37" ht="15.75" customHeight="1">
      <c r="B60" s="218"/>
      <c r="I60" s="609"/>
      <c r="O60" s="123"/>
      <c r="S60"/>
      <c r="T60"/>
      <c r="U60"/>
      <c r="V60"/>
      <c r="W60"/>
      <c r="X60"/>
      <c r="Y60"/>
      <c r="Z60"/>
      <c r="AA60"/>
      <c r="AB60"/>
      <c r="AC60"/>
      <c r="AD60"/>
      <c r="AE60"/>
    </row>
    <row r="61" spans="2:37" ht="15.75" customHeight="1">
      <c r="B61" s="218"/>
      <c r="I61" s="609"/>
      <c r="O61" s="123"/>
      <c r="T61"/>
      <c r="U61"/>
      <c r="V61"/>
      <c r="W61"/>
      <c r="X61"/>
      <c r="Y61"/>
      <c r="Z61"/>
      <c r="AA61"/>
      <c r="AB61"/>
      <c r="AC61"/>
      <c r="AD61"/>
      <c r="AE61"/>
    </row>
    <row r="62" spans="2:37" ht="15.75" customHeight="1" thickBot="1">
      <c r="B62" s="220"/>
      <c r="C62" s="221"/>
      <c r="D62" s="222"/>
      <c r="E62" s="221"/>
      <c r="F62" s="223"/>
      <c r="G62" s="223"/>
      <c r="H62" s="223"/>
      <c r="I62" s="829"/>
      <c r="J62" s="179"/>
      <c r="K62" s="179"/>
      <c r="L62" s="179"/>
      <c r="M62" s="224"/>
      <c r="N62" s="224"/>
      <c r="O62" s="225"/>
      <c r="T62"/>
      <c r="U62"/>
      <c r="V62"/>
      <c r="W62"/>
      <c r="X62"/>
      <c r="Y62"/>
      <c r="Z62"/>
      <c r="AA62"/>
      <c r="AB62"/>
      <c r="AC62"/>
      <c r="AD62"/>
      <c r="AE62"/>
    </row>
    <row r="63" spans="2:37" ht="6" customHeight="1" thickBot="1">
      <c r="B63" s="226"/>
      <c r="C63" s="217"/>
      <c r="D63" s="227"/>
      <c r="T63"/>
      <c r="U63"/>
      <c r="V63"/>
      <c r="W63"/>
      <c r="X63"/>
      <c r="Y63"/>
      <c r="Z63"/>
      <c r="AA63"/>
      <c r="AB63"/>
      <c r="AC63"/>
    </row>
    <row r="64" spans="2:37" ht="15.75">
      <c r="B64" s="189" t="s">
        <v>232</v>
      </c>
      <c r="C64" s="229"/>
      <c r="D64" s="230"/>
      <c r="E64" s="229"/>
      <c r="F64" s="229"/>
      <c r="G64" s="229"/>
      <c r="H64" s="231"/>
      <c r="I64" s="232"/>
      <c r="J64" s="229"/>
      <c r="K64" s="229"/>
      <c r="L64" s="229"/>
      <c r="M64" s="233"/>
      <c r="N64" s="233"/>
      <c r="O64" s="234"/>
      <c r="R64"/>
      <c r="S64"/>
      <c r="T64"/>
      <c r="U64"/>
      <c r="V64"/>
      <c r="W64"/>
      <c r="X64"/>
      <c r="Y64"/>
      <c r="Z64"/>
      <c r="AA64"/>
      <c r="AB64"/>
      <c r="AC64"/>
    </row>
    <row r="65" spans="1:28" ht="14.25">
      <c r="B65" s="235" t="s">
        <v>233</v>
      </c>
      <c r="C65" s="236"/>
      <c r="D65" s="237"/>
      <c r="E65" s="236"/>
      <c r="F65" s="236"/>
      <c r="G65" s="236"/>
      <c r="H65" s="236"/>
      <c r="I65" s="236"/>
      <c r="J65" s="236"/>
      <c r="K65" s="470"/>
      <c r="L65" s="720" t="s">
        <v>808</v>
      </c>
      <c r="M65" s="239"/>
      <c r="N65" s="239"/>
      <c r="O65" s="240"/>
      <c r="R65" s="241"/>
      <c r="S65"/>
      <c r="T65" s="86"/>
      <c r="U65"/>
      <c r="V65"/>
      <c r="W65"/>
      <c r="X65"/>
      <c r="Y65"/>
      <c r="Z65" s="228"/>
      <c r="AA65" s="86"/>
      <c r="AB65" s="86"/>
    </row>
    <row r="66" spans="1:28" ht="52.5" customHeight="1">
      <c r="B66" s="890" t="str">
        <f>IF(配慮!D4=配慮!C4,"",配慮!D4)</f>
        <v/>
      </c>
      <c r="C66" s="891"/>
      <c r="D66" s="891"/>
      <c r="E66" s="891"/>
      <c r="F66" s="891"/>
      <c r="G66" s="891"/>
      <c r="H66" s="891"/>
      <c r="I66" s="891"/>
      <c r="J66" s="891"/>
      <c r="K66" s="891"/>
      <c r="L66" s="892" t="str">
        <f>IF(配慮!D11=配慮!C11,"",配慮!D11)</f>
        <v/>
      </c>
      <c r="M66" s="893"/>
      <c r="N66" s="893"/>
      <c r="O66" s="894"/>
      <c r="R66" s="86"/>
      <c r="S66"/>
      <c r="T66" s="86"/>
      <c r="U66"/>
      <c r="V66"/>
      <c r="W66"/>
      <c r="X66"/>
      <c r="Y66"/>
      <c r="Z66" s="228"/>
      <c r="AA66" s="86"/>
      <c r="AB66" s="86"/>
    </row>
    <row r="67" spans="1:28" ht="15">
      <c r="B67" s="242" t="str">
        <f>R46</f>
        <v>① 飛沫感染対策として有効に働く項目</v>
      </c>
      <c r="C67" s="239"/>
      <c r="D67" s="239"/>
      <c r="E67" s="239"/>
      <c r="F67" s="239"/>
      <c r="G67" s="243"/>
      <c r="H67" s="244" t="str">
        <f>U46</f>
        <v>② 空気感染対策として有効に働く項目</v>
      </c>
      <c r="I67" s="245"/>
      <c r="J67" s="245"/>
      <c r="K67" s="246"/>
      <c r="L67" s="247" t="str">
        <f>X46</f>
        <v>③ その他、感染症流行時に有効に働く項目</v>
      </c>
      <c r="M67" s="248"/>
      <c r="N67" s="249"/>
      <c r="O67" s="250"/>
      <c r="R67" s="86"/>
      <c r="S67"/>
      <c r="T67" s="86"/>
      <c r="U67" s="86"/>
      <c r="V67" s="86"/>
      <c r="W67" s="86"/>
      <c r="Z67" s="86"/>
      <c r="AA67" s="86"/>
      <c r="AB67" s="86"/>
    </row>
    <row r="68" spans="1:28" ht="50.25" customHeight="1">
      <c r="B68" s="895" t="str">
        <f>IF(配慮!D8=配慮!C8,"",配慮!D8)</f>
        <v/>
      </c>
      <c r="C68" s="893"/>
      <c r="D68" s="893"/>
      <c r="E68" s="893"/>
      <c r="F68" s="893"/>
      <c r="G68" s="896"/>
      <c r="H68" s="892" t="str">
        <f>IF(配慮!D9=配慮!C9,"",配慮!D9)</f>
        <v/>
      </c>
      <c r="I68" s="893"/>
      <c r="J68" s="893"/>
      <c r="K68" s="896"/>
      <c r="L68" s="892" t="str">
        <f>IF(配慮!D10=配慮!C10,"",配慮!D10)</f>
        <v/>
      </c>
      <c r="M68" s="893"/>
      <c r="N68" s="893"/>
      <c r="O68" s="894"/>
      <c r="R68" s="86"/>
      <c r="S68"/>
      <c r="T68" s="86"/>
      <c r="U68" s="86"/>
      <c r="V68" s="86"/>
      <c r="W68" s="86"/>
      <c r="X68" s="86"/>
      <c r="Y68" s="86"/>
      <c r="Z68" s="86"/>
      <c r="AA68" s="86"/>
      <c r="AB68" s="86"/>
    </row>
    <row r="69" spans="1:28" ht="15" hidden="1">
      <c r="B69" s="251">
        <f>AF48</f>
        <v>0</v>
      </c>
      <c r="C69" s="252"/>
      <c r="D69" s="237"/>
      <c r="E69" s="237"/>
      <c r="F69" s="237"/>
      <c r="G69" s="253"/>
      <c r="H69" s="254">
        <f>AI48</f>
        <v>0</v>
      </c>
      <c r="I69" s="239"/>
      <c r="J69" s="239"/>
      <c r="K69" s="243"/>
      <c r="L69" s="238" t="s">
        <v>234</v>
      </c>
      <c r="M69" s="252"/>
      <c r="N69" s="237"/>
      <c r="O69" s="255"/>
      <c r="R69" s="86"/>
      <c r="S69" s="86"/>
      <c r="T69" s="86"/>
      <c r="U69" s="86"/>
      <c r="V69" s="86"/>
      <c r="W69" s="86"/>
      <c r="X69" s="86"/>
      <c r="Y69" s="86"/>
      <c r="Z69" s="86"/>
      <c r="AA69" s="86"/>
      <c r="AB69" s="86"/>
    </row>
    <row r="70" spans="1:28" ht="61.5" hidden="1" customHeight="1" thickBot="1">
      <c r="B70" s="883" t="str">
        <f>IF(配慮!D8=配慮!C8,"",配慮!D8)</f>
        <v/>
      </c>
      <c r="C70" s="884"/>
      <c r="D70" s="884"/>
      <c r="E70" s="884"/>
      <c r="F70" s="884"/>
      <c r="G70" s="885"/>
      <c r="H70" s="886" t="str">
        <f>IF(配慮!C10=配慮!D10,"",配慮!D10)</f>
        <v/>
      </c>
      <c r="I70" s="884"/>
      <c r="J70" s="884"/>
      <c r="K70" s="885"/>
      <c r="L70" s="886" t="str">
        <f>IF(配慮!D11=配慮!C11,"",配慮!D11)</f>
        <v/>
      </c>
      <c r="M70" s="884"/>
      <c r="N70" s="884"/>
      <c r="O70" s="887"/>
      <c r="R70" s="86"/>
      <c r="S70" s="86"/>
      <c r="T70" s="86"/>
      <c r="U70" s="86"/>
      <c r="V70" s="86"/>
      <c r="W70" s="86"/>
      <c r="X70" s="86"/>
      <c r="Y70" s="86"/>
      <c r="Z70" s="86"/>
      <c r="AA70" s="86"/>
      <c r="AB70" s="86"/>
    </row>
    <row r="71" spans="1:28" ht="8.25" customHeight="1">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c r="B72" s="256" t="s">
        <v>235</v>
      </c>
      <c r="C72" s="257"/>
      <c r="D72" s="258"/>
      <c r="E72" s="257"/>
      <c r="F72" s="257"/>
      <c r="G72" s="257"/>
      <c r="H72" s="257"/>
      <c r="I72" s="257"/>
      <c r="J72" s="259"/>
      <c r="K72" s="260"/>
      <c r="L72" s="260"/>
      <c r="M72" s="260"/>
      <c r="N72" s="261"/>
      <c r="O72" s="262" t="s">
        <v>236</v>
      </c>
      <c r="R72" s="86"/>
      <c r="S72" s="86"/>
      <c r="T72" s="86"/>
      <c r="U72" s="86"/>
      <c r="V72" s="86"/>
      <c r="W72" s="86"/>
      <c r="X72" s="86"/>
      <c r="Y72" s="86"/>
      <c r="Z72" s="86"/>
      <c r="AA72" s="86"/>
      <c r="AB72" s="86"/>
    </row>
    <row r="73" spans="1:28" ht="15.75" hidden="1">
      <c r="B73" s="263" t="s">
        <v>121</v>
      </c>
      <c r="C73" s="264"/>
      <c r="D73" s="265"/>
      <c r="E73" s="264"/>
      <c r="F73" s="264"/>
      <c r="G73" s="264"/>
      <c r="H73" s="264"/>
      <c r="I73" s="264"/>
      <c r="J73" s="266"/>
      <c r="K73" s="267"/>
      <c r="L73" s="268"/>
      <c r="M73" s="268"/>
      <c r="N73" s="266"/>
      <c r="O73" s="269" t="s">
        <v>146</v>
      </c>
      <c r="R73" s="86"/>
      <c r="S73" s="86"/>
      <c r="T73" s="86"/>
      <c r="U73" s="86"/>
      <c r="V73" s="86"/>
      <c r="W73" s="86"/>
      <c r="X73" s="86"/>
      <c r="Y73" s="86"/>
      <c r="Z73" s="86"/>
      <c r="AA73" s="86"/>
      <c r="AB73" s="86"/>
    </row>
    <row r="74" spans="1:28" ht="14.25" hidden="1">
      <c r="B74" s="270"/>
      <c r="C74" s="271"/>
      <c r="D74" s="272"/>
      <c r="E74" s="273" t="s">
        <v>122</v>
      </c>
      <c r="F74" s="274"/>
      <c r="G74" s="274"/>
      <c r="H74" s="273" t="s">
        <v>41</v>
      </c>
      <c r="I74" s="274"/>
      <c r="J74" s="273" t="s">
        <v>90</v>
      </c>
      <c r="K74" s="275"/>
      <c r="L74" s="273" t="s">
        <v>91</v>
      </c>
      <c r="M74" s="274"/>
      <c r="N74" s="274"/>
      <c r="O74" s="276" t="s">
        <v>92</v>
      </c>
      <c r="R74" s="86"/>
      <c r="S74" s="86"/>
      <c r="T74" s="86"/>
      <c r="U74" s="86"/>
      <c r="V74" s="86"/>
      <c r="W74" s="86"/>
      <c r="X74" s="86"/>
      <c r="Y74" s="86"/>
      <c r="Z74" s="86"/>
      <c r="AA74" s="86"/>
      <c r="AB74" s="86"/>
    </row>
    <row r="75" spans="1:28" ht="14.25" hidden="1">
      <c r="B75" s="277"/>
      <c r="C75" s="278" t="s">
        <v>93</v>
      </c>
      <c r="D75" s="279"/>
      <c r="E75" s="280"/>
      <c r="F75" s="281" t="s">
        <v>94</v>
      </c>
      <c r="G75" s="282"/>
      <c r="H75" s="280"/>
      <c r="I75" s="281" t="s">
        <v>95</v>
      </c>
      <c r="J75" s="283"/>
      <c r="K75" s="281" t="s">
        <v>94</v>
      </c>
      <c r="L75" s="284"/>
      <c r="M75" s="285"/>
      <c r="N75" s="286"/>
      <c r="O75" s="287"/>
      <c r="R75" s="86"/>
      <c r="S75" s="86"/>
      <c r="T75" s="86"/>
      <c r="U75" s="86"/>
      <c r="V75" s="86"/>
      <c r="W75" s="86"/>
      <c r="X75" s="86"/>
      <c r="Y75" s="86"/>
      <c r="Z75" s="86"/>
      <c r="AA75" s="86"/>
      <c r="AB75" s="86"/>
    </row>
    <row r="76" spans="1:28" ht="15.75" hidden="1">
      <c r="B76" s="277"/>
      <c r="C76" s="288" t="s">
        <v>96</v>
      </c>
      <c r="D76" s="289"/>
      <c r="E76" s="290"/>
      <c r="F76" s="158" t="s">
        <v>97</v>
      </c>
      <c r="G76" s="158"/>
      <c r="H76" s="290"/>
      <c r="I76" s="158" t="s">
        <v>98</v>
      </c>
      <c r="J76" s="291"/>
      <c r="K76" s="158" t="s">
        <v>97</v>
      </c>
      <c r="L76" s="284"/>
      <c r="M76" s="95"/>
      <c r="N76" s="285"/>
      <c r="O76" s="292"/>
      <c r="S76" s="95"/>
      <c r="W76" s="86"/>
      <c r="X76" s="86"/>
      <c r="Y76" s="86"/>
      <c r="Z76" s="86"/>
      <c r="AA76" s="86"/>
      <c r="AB76" s="86"/>
    </row>
    <row r="77" spans="1:28" ht="14.25" hidden="1">
      <c r="A77" s="293"/>
      <c r="B77" s="294"/>
      <c r="C77" s="295" t="s">
        <v>99</v>
      </c>
      <c r="D77" s="289"/>
      <c r="E77" s="290"/>
      <c r="F77" s="282" t="s">
        <v>100</v>
      </c>
      <c r="G77" s="282"/>
      <c r="H77" s="290"/>
      <c r="I77" s="282" t="s">
        <v>101</v>
      </c>
      <c r="J77" s="291"/>
      <c r="K77" s="282" t="s">
        <v>100</v>
      </c>
      <c r="L77" s="284"/>
      <c r="M77" s="95"/>
      <c r="N77" s="296"/>
      <c r="O77" s="292"/>
      <c r="P77" s="293"/>
      <c r="S77" s="95"/>
      <c r="W77" s="86"/>
      <c r="X77" s="86"/>
      <c r="Y77" s="86"/>
      <c r="Z77" s="86"/>
      <c r="AA77" s="86"/>
      <c r="AB77" s="86"/>
    </row>
    <row r="78" spans="1:28" ht="15.75" hidden="1">
      <c r="B78" s="277"/>
      <c r="C78" s="297" t="s">
        <v>102</v>
      </c>
      <c r="D78" s="289"/>
      <c r="E78" s="290"/>
      <c r="F78" s="158" t="s">
        <v>97</v>
      </c>
      <c r="G78" s="158"/>
      <c r="H78" s="290"/>
      <c r="I78" s="158" t="s">
        <v>98</v>
      </c>
      <c r="J78" s="291"/>
      <c r="K78" s="158" t="s">
        <v>97</v>
      </c>
      <c r="L78" s="284"/>
      <c r="M78" s="95"/>
      <c r="N78" s="285"/>
      <c r="O78" s="298"/>
      <c r="S78" s="95"/>
      <c r="W78" s="86"/>
      <c r="X78" s="86"/>
      <c r="Y78" s="86"/>
      <c r="Z78" s="86"/>
      <c r="AA78" s="86"/>
      <c r="AB78" s="86"/>
    </row>
    <row r="79" spans="1:28" ht="14.25" hidden="1">
      <c r="B79" s="277"/>
      <c r="C79" s="297" t="s">
        <v>103</v>
      </c>
      <c r="D79" s="289"/>
      <c r="E79" s="290"/>
      <c r="F79" s="299" t="s">
        <v>104</v>
      </c>
      <c r="G79" s="158"/>
      <c r="H79" s="290"/>
      <c r="I79" s="299" t="s">
        <v>105</v>
      </c>
      <c r="J79" s="291"/>
      <c r="K79" s="299" t="s">
        <v>104</v>
      </c>
      <c r="L79" s="284"/>
      <c r="M79" s="95"/>
      <c r="N79" s="285"/>
      <c r="O79" s="123"/>
      <c r="S79" s="95"/>
      <c r="W79" s="86"/>
      <c r="X79" s="86"/>
      <c r="Y79" s="86"/>
      <c r="Z79" s="86"/>
      <c r="AA79" s="86"/>
      <c r="AB79" s="86"/>
    </row>
    <row r="80" spans="1:28" ht="14.25" hidden="1">
      <c r="B80" s="277"/>
      <c r="C80" s="297" t="s">
        <v>106</v>
      </c>
      <c r="D80" s="289"/>
      <c r="E80" s="290"/>
      <c r="F80" s="299" t="s">
        <v>104</v>
      </c>
      <c r="G80" s="158"/>
      <c r="H80" s="290"/>
      <c r="I80" s="299" t="s">
        <v>105</v>
      </c>
      <c r="J80" s="291"/>
      <c r="K80" s="299" t="s">
        <v>104</v>
      </c>
      <c r="L80" s="284"/>
      <c r="M80" s="95"/>
      <c r="N80" s="285"/>
      <c r="O80" s="292"/>
      <c r="S80" s="95"/>
      <c r="W80" s="86"/>
      <c r="X80" s="86"/>
      <c r="Y80" s="86"/>
      <c r="Z80" s="86"/>
      <c r="AA80" s="86"/>
      <c r="AB80" s="86"/>
    </row>
    <row r="81" spans="2:28" ht="15" hidden="1" thickBot="1">
      <c r="B81" s="300"/>
      <c r="C81" s="301"/>
      <c r="D81" s="302"/>
      <c r="E81" s="303"/>
      <c r="F81" s="304"/>
      <c r="G81" s="221"/>
      <c r="H81" s="303"/>
      <c r="I81" s="304"/>
      <c r="J81" s="305"/>
      <c r="K81" s="304"/>
      <c r="L81" s="284"/>
      <c r="M81" s="95"/>
      <c r="N81" s="306"/>
      <c r="O81" s="307"/>
      <c r="S81" s="95"/>
      <c r="W81" s="86"/>
      <c r="X81" s="86"/>
      <c r="Y81" s="86"/>
      <c r="Z81" s="86"/>
      <c r="AA81" s="86"/>
      <c r="AB81" s="86"/>
    </row>
    <row r="82" spans="2:28" ht="16.5" hidden="1" thickBot="1">
      <c r="B82" s="308" t="s">
        <v>107</v>
      </c>
      <c r="C82" s="309"/>
      <c r="D82" s="310"/>
      <c r="E82" s="311"/>
      <c r="F82" s="312"/>
      <c r="G82" s="312"/>
      <c r="H82" s="312"/>
      <c r="I82" s="312"/>
      <c r="J82" s="312"/>
      <c r="K82" s="312"/>
      <c r="L82" s="312"/>
      <c r="M82" s="312"/>
      <c r="N82" s="312"/>
      <c r="O82" s="313"/>
      <c r="S82" s="95"/>
      <c r="W82" s="86"/>
      <c r="X82" s="86"/>
      <c r="Y82" s="86"/>
      <c r="Z82" s="86"/>
      <c r="AA82" s="86"/>
      <c r="AB82" s="86"/>
    </row>
    <row r="83" spans="2:28" ht="15.75" hidden="1">
      <c r="B83" s="314" t="s">
        <v>108</v>
      </c>
      <c r="C83" s="315"/>
      <c r="D83" s="316"/>
      <c r="E83" s="317"/>
      <c r="F83" s="318"/>
      <c r="G83" s="318"/>
      <c r="H83" s="318"/>
      <c r="I83" s="316"/>
      <c r="J83" s="319" t="s">
        <v>109</v>
      </c>
      <c r="K83" s="320"/>
      <c r="L83" s="321"/>
      <c r="M83" s="315"/>
      <c r="N83" s="315"/>
      <c r="O83" s="322"/>
      <c r="S83" s="95"/>
      <c r="W83" s="86"/>
      <c r="X83" s="86"/>
      <c r="Y83" s="86"/>
      <c r="Z83" s="86"/>
      <c r="AA83" s="86"/>
      <c r="AB83" s="86"/>
    </row>
    <row r="84" spans="2:28" ht="15" hidden="1">
      <c r="B84" s="323"/>
      <c r="C84" s="324" t="s">
        <v>110</v>
      </c>
      <c r="D84" s="325"/>
      <c r="E84" s="325"/>
      <c r="F84" s="325"/>
      <c r="G84" s="325"/>
      <c r="H84" s="325"/>
      <c r="I84" s="325"/>
      <c r="J84" s="326" t="s">
        <v>111</v>
      </c>
      <c r="K84" s="95"/>
      <c r="L84" s="327"/>
      <c r="M84" s="95"/>
      <c r="N84" s="95"/>
      <c r="O84" s="137"/>
      <c r="S84" s="95"/>
      <c r="W84" s="86"/>
      <c r="X84" s="86"/>
      <c r="Y84" s="86"/>
      <c r="Z84" s="86"/>
      <c r="AA84" s="86"/>
      <c r="AB84" s="86"/>
    </row>
    <row r="85" spans="2:28" ht="15" hidden="1">
      <c r="B85" s="323"/>
      <c r="C85" s="324"/>
      <c r="D85" s="325"/>
      <c r="E85" s="325"/>
      <c r="F85" s="325"/>
      <c r="G85" s="325"/>
      <c r="H85" s="325"/>
      <c r="I85" s="325"/>
      <c r="J85" s="326"/>
      <c r="K85" s="95"/>
      <c r="L85" s="327"/>
      <c r="M85" s="95"/>
      <c r="N85" s="95"/>
      <c r="O85" s="137"/>
      <c r="S85" s="95"/>
      <c r="W85" s="86"/>
      <c r="X85" s="86"/>
      <c r="Y85" s="86"/>
      <c r="Z85" s="86"/>
      <c r="AA85" s="86"/>
      <c r="AB85" s="86"/>
    </row>
    <row r="86" spans="2:28" ht="15" hidden="1" thickBot="1">
      <c r="B86" s="328"/>
      <c r="C86" s="329"/>
      <c r="D86" s="330"/>
      <c r="E86" s="330"/>
      <c r="F86" s="330"/>
      <c r="G86" s="330"/>
      <c r="H86" s="330"/>
      <c r="I86" s="330"/>
      <c r="J86" s="331"/>
      <c r="K86" s="178"/>
      <c r="L86" s="332"/>
      <c r="M86" s="332"/>
      <c r="N86" s="332"/>
      <c r="O86" s="333"/>
      <c r="S86" s="95"/>
    </row>
    <row r="87" spans="2:28" ht="14.25" hidden="1">
      <c r="B87" s="158"/>
      <c r="C87" s="158"/>
      <c r="D87" s="215"/>
      <c r="E87" s="158"/>
      <c r="S87" s="95"/>
    </row>
    <row r="88" spans="2:28" ht="14.25" hidden="1">
      <c r="B88" s="334"/>
      <c r="C88" s="335"/>
      <c r="D88" s="336"/>
      <c r="E88" s="337"/>
      <c r="F88" s="337"/>
      <c r="G88" s="337"/>
      <c r="H88" s="337"/>
      <c r="I88" s="338"/>
      <c r="J88" s="339"/>
      <c r="K88" s="338"/>
      <c r="L88" s="340"/>
      <c r="M88" s="338"/>
      <c r="N88" s="341"/>
      <c r="O88" s="342"/>
      <c r="S88" s="95"/>
    </row>
    <row r="89" spans="2:28" ht="14.25" hidden="1">
      <c r="B89" s="343"/>
      <c r="C89" s="344" t="s">
        <v>112</v>
      </c>
      <c r="D89" s="345" t="s">
        <v>147</v>
      </c>
      <c r="E89" s="346" t="s">
        <v>148</v>
      </c>
      <c r="G89" s="95"/>
      <c r="H89" s="346" t="s">
        <v>149</v>
      </c>
      <c r="J89" s="346" t="s">
        <v>150</v>
      </c>
      <c r="L89" s="346" t="s">
        <v>151</v>
      </c>
      <c r="N89" s="345" t="s">
        <v>152</v>
      </c>
      <c r="O89" s="347"/>
      <c r="S89" s="95"/>
    </row>
    <row r="90" spans="2:28" ht="14.25" hidden="1">
      <c r="B90" s="343"/>
      <c r="C90" s="344" t="s">
        <v>244</v>
      </c>
      <c r="D90" s="348" t="s">
        <v>225</v>
      </c>
      <c r="E90" s="349"/>
      <c r="F90" s="350"/>
      <c r="G90" s="350"/>
      <c r="H90" s="350"/>
      <c r="I90" s="351"/>
      <c r="J90" s="351"/>
      <c r="K90" s="352"/>
      <c r="L90" s="352"/>
      <c r="O90" s="353"/>
    </row>
    <row r="91" spans="2:28" ht="14.25" hidden="1">
      <c r="B91" s="343"/>
      <c r="C91" s="344"/>
      <c r="D91" s="348"/>
      <c r="E91" s="349"/>
      <c r="F91" s="350"/>
      <c r="G91" s="350"/>
      <c r="H91" s="350"/>
      <c r="I91" s="351"/>
      <c r="J91" s="351"/>
      <c r="K91" s="352"/>
      <c r="L91" s="352"/>
      <c r="O91" s="353"/>
    </row>
    <row r="92" spans="2:28" ht="14.25" hidden="1">
      <c r="B92" s="355"/>
      <c r="C92" s="344" t="s">
        <v>226</v>
      </c>
      <c r="D92" s="348" t="s">
        <v>227</v>
      </c>
      <c r="E92" s="348"/>
      <c r="G92" s="356"/>
      <c r="O92" s="353"/>
    </row>
    <row r="93" spans="2:28" ht="14.25" hidden="1">
      <c r="B93" s="355"/>
      <c r="C93" s="344"/>
      <c r="D93" s="348" t="s">
        <v>228</v>
      </c>
      <c r="E93" s="348"/>
      <c r="G93" s="356"/>
      <c r="O93" s="353"/>
    </row>
    <row r="94" spans="2:28" ht="14.25" hidden="1">
      <c r="B94" s="357"/>
      <c r="C94" s="358" t="s">
        <v>229</v>
      </c>
      <c r="D94" s="359" t="s">
        <v>153</v>
      </c>
      <c r="E94" s="360"/>
      <c r="F94" s="361"/>
      <c r="G94" s="362"/>
      <c r="H94" s="361"/>
      <c r="I94" s="363"/>
      <c r="J94" s="363"/>
      <c r="K94" s="361"/>
      <c r="L94" s="361"/>
      <c r="M94" s="364"/>
      <c r="N94" s="364"/>
      <c r="O94" s="365"/>
    </row>
    <row r="95" spans="2:28" ht="14.25" hidden="1">
      <c r="G95" s="356"/>
    </row>
    <row r="96" spans="2:28" ht="14.25" hidden="1">
      <c r="G96" s="356"/>
      <c r="L96" s="356"/>
    </row>
    <row r="97" spans="2:12" ht="14.25" hidden="1">
      <c r="E97" s="122"/>
      <c r="F97" s="356"/>
      <c r="G97" s="356"/>
      <c r="H97" s="356"/>
      <c r="I97" s="352"/>
      <c r="L97" s="356"/>
    </row>
    <row r="98" spans="2:12" ht="14.25" hidden="1">
      <c r="C98" s="366"/>
      <c r="D98" s="216"/>
      <c r="E98" s="122"/>
      <c r="F98" s="356"/>
      <c r="G98" s="356"/>
      <c r="H98" s="356"/>
      <c r="I98" s="352"/>
      <c r="J98" s="352"/>
      <c r="K98" s="356"/>
      <c r="L98" s="356"/>
    </row>
    <row r="99" spans="2:12" ht="14.25" hidden="1">
      <c r="B99" s="367"/>
      <c r="C99" s="368"/>
      <c r="D99" s="369"/>
      <c r="E99" s="122"/>
      <c r="F99" s="356"/>
      <c r="G99" s="350"/>
      <c r="H99" s="350"/>
      <c r="I99" s="351"/>
      <c r="J99" s="351"/>
      <c r="K99" s="352"/>
      <c r="L99" s="352"/>
    </row>
    <row r="100" spans="2:12" ht="14.25" hidden="1">
      <c r="B100" s="367"/>
      <c r="C100" s="367"/>
      <c r="D100" s="370"/>
      <c r="G100" s="350"/>
      <c r="H100" s="350"/>
      <c r="I100" s="351"/>
      <c r="J100" s="351"/>
      <c r="K100" s="352"/>
      <c r="L100" s="352"/>
    </row>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sheetData>
  <sheetProtection sheet="1" objects="1" scenarios="1"/>
  <mergeCells count="14">
    <mergeCell ref="B70:G70"/>
    <mergeCell ref="H70:K70"/>
    <mergeCell ref="L70:O70"/>
    <mergeCell ref="Q2:Q5"/>
    <mergeCell ref="K5:L5"/>
    <mergeCell ref="N5:O5"/>
    <mergeCell ref="J12:K12"/>
    <mergeCell ref="D13:E13"/>
    <mergeCell ref="D14:E14"/>
    <mergeCell ref="B66:K66"/>
    <mergeCell ref="L66:O66"/>
    <mergeCell ref="B68:G68"/>
    <mergeCell ref="H68:K68"/>
    <mergeCell ref="L68:O68"/>
  </mergeCells>
  <phoneticPr fontId="23"/>
  <hyperlinks>
    <hyperlink ref="Q2" location="メイン!A1" display="戻る" xr:uid="{8B718666-E82A-48BF-A5C6-5D622211D96F}"/>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47"/>
  <sheetViews>
    <sheetView showGridLines="0" zoomScaleNormal="100" zoomScaleSheetLayoutView="85" workbookViewId="0">
      <selection activeCell="B6" sqref="B6"/>
    </sheetView>
  </sheetViews>
  <sheetFormatPr defaultColWidth="0" defaultRowHeight="13.5" zeroHeight="1"/>
  <cols>
    <col min="1" max="1" width="0.875" customWidth="1"/>
    <col min="2" max="2" width="17.375" customWidth="1"/>
    <col min="3" max="3" width="1.75" style="385" hidden="1" customWidth="1"/>
    <col min="4" max="4" width="32.375" customWidth="1"/>
    <col min="5" max="5" width="11.125" customWidth="1"/>
    <col min="6" max="6" width="21.25" customWidth="1"/>
    <col min="7" max="7" width="1.375" customWidth="1"/>
    <col min="8" max="8" width="0" hidden="1" customWidth="1"/>
    <col min="9" max="16384" width="8.875" hidden="1"/>
  </cols>
  <sheetData>
    <row r="1" spans="2:8" ht="21">
      <c r="B1" s="374" t="s">
        <v>239</v>
      </c>
      <c r="C1" s="375"/>
      <c r="E1" s="457" t="s">
        <v>298</v>
      </c>
      <c r="F1" s="76" t="str">
        <f>メイン!C11</f>
        <v>○○ビル</v>
      </c>
    </row>
    <row r="2" spans="2:8" s="379" customFormat="1" thickBot="1">
      <c r="B2" s="376"/>
      <c r="C2" s="377"/>
      <c r="D2" s="377"/>
      <c r="E2" s="377"/>
      <c r="F2" s="377"/>
      <c r="G2" s="378"/>
      <c r="H2" s="378"/>
    </row>
    <row r="3" spans="2:8" ht="21" customHeight="1" thickBot="1">
      <c r="B3" s="380"/>
      <c r="C3" s="381"/>
      <c r="D3" s="381" t="s">
        <v>241</v>
      </c>
      <c r="E3" s="381"/>
      <c r="F3" s="382"/>
    </row>
    <row r="4" spans="2:8" ht="81" customHeight="1" thickTop="1">
      <c r="B4" s="383" t="s">
        <v>242</v>
      </c>
      <c r="C4" s="458" t="s">
        <v>299</v>
      </c>
      <c r="D4" s="905" t="str">
        <f>C4</f>
        <v>　注）　設計における総合的なコンセプトを簡潔に記載してください。
　</v>
      </c>
      <c r="E4" s="905"/>
      <c r="F4" s="906"/>
    </row>
    <row r="5" spans="2:8" ht="77.45" customHeight="1">
      <c r="B5" s="384" t="str">
        <f>結果!C42</f>
        <v>Qw1 
安全・安心性</v>
      </c>
      <c r="C5" s="459" t="str">
        <f>"注）「"&amp;スコア!B10&amp;"」に対する配慮事項を簡潔に記載してください。"</f>
        <v>注）「Qw1 安全・安心性」に対する配慮事項を簡潔に記載してください。</v>
      </c>
      <c r="D5" s="901" t="str">
        <f>C5</f>
        <v>注）「Qw1 安全・安心性」に対する配慮事項を簡潔に記載してください。</v>
      </c>
      <c r="E5" s="901"/>
      <c r="F5" s="902"/>
    </row>
    <row r="6" spans="2:8" ht="77.45" customHeight="1">
      <c r="B6" s="384" t="str">
        <f>結果!V8</f>
        <v>Qw2 
健康性・快適性</v>
      </c>
      <c r="C6" s="459" t="str">
        <f>"注）「"&amp;スコア!B30&amp;"」に対する配慮事項を簡潔に記載してください。"</f>
        <v>注）「Qw2 健康性・快適性」に対する配慮事項を簡潔に記載してください。</v>
      </c>
      <c r="D6" s="901" t="str">
        <f t="shared" ref="D6:D11" si="0">C6</f>
        <v>注）「Qw2 健康性・快適性」に対する配慮事項を簡潔に記載してください。</v>
      </c>
      <c r="E6" s="901"/>
      <c r="F6" s="902"/>
    </row>
    <row r="7" spans="2:8" ht="77.45" customHeight="1">
      <c r="B7" s="384" t="str">
        <f>結果!V9</f>
        <v>Qw3 
知的生産性向上</v>
      </c>
      <c r="C7" s="459" t="str">
        <f>"注）「"&amp;スコア!B69&amp;"」に対する配慮事項を簡潔に記載してください。"</f>
        <v>注）「Qw3 知的生産性向上」に対する配慮事項を簡潔に記載してください。</v>
      </c>
      <c r="D7" s="901" t="str">
        <f>C7</f>
        <v>注）「Qw3 知的生産性向上」に対する配慮事項を簡潔に記載してください。</v>
      </c>
      <c r="E7" s="901"/>
      <c r="F7" s="902"/>
    </row>
    <row r="8" spans="2:8" ht="77.45" customHeight="1">
      <c r="B8" s="384" t="str">
        <f>'結果(感染対策)'!B67</f>
        <v>① 飛沫感染対策として有効に働く項目</v>
      </c>
      <c r="C8" s="459" t="str">
        <f>"注）「"&amp;スコア!B96&amp;"」に対する配慮事項を簡潔に記載してください。"</f>
        <v>注）「① 飛沫感染対策として有効に働く項目」に対する配慮事項を簡潔に記載してください。</v>
      </c>
      <c r="D8" s="901" t="str">
        <f t="shared" si="0"/>
        <v>注）「① 飛沫感染対策として有効に働く項目」に対する配慮事項を簡潔に記載してください。</v>
      </c>
      <c r="E8" s="901"/>
      <c r="F8" s="902"/>
    </row>
    <row r="9" spans="2:8" ht="77.45" customHeight="1">
      <c r="B9" s="384" t="str">
        <f>'結果(感染対策)'!H67</f>
        <v>② 空気感染対策として有効に働く項目</v>
      </c>
      <c r="C9" s="459" t="str">
        <f>"注）「"&amp;スコア!B102&amp;"」に対する配慮事項を簡潔に記載してください。"</f>
        <v>注）「② 空気感染対策として有効に働く項目」に対する配慮事項を簡潔に記載してください。</v>
      </c>
      <c r="D9" s="901" t="str">
        <f>C9</f>
        <v>注）「② 空気感染対策として有効に働く項目」に対する配慮事項を簡潔に記載してください。</v>
      </c>
      <c r="E9" s="901"/>
      <c r="F9" s="902"/>
    </row>
    <row r="10" spans="2:8" ht="77.45" customHeight="1">
      <c r="B10" s="384" t="str">
        <f>'結果(感染対策)'!L67</f>
        <v>③ その他、感染症流行時に有効に働く項目</v>
      </c>
      <c r="C10" s="459" t="str">
        <f>"注）「"&amp;スコア!B111&amp;"」に対する配慮事項を簡潔に記載してください。"</f>
        <v>注）「③ その他、感染症流行時に有効に働く項目」に対する配慮事項を簡潔に記載してください。</v>
      </c>
      <c r="D10" s="901" t="str">
        <f>C10</f>
        <v>注）「③ その他、感染症流行時に有効に働く項目」に対する配慮事項を簡潔に記載してください。</v>
      </c>
      <c r="E10" s="901"/>
      <c r="F10" s="902"/>
    </row>
    <row r="11" spans="2:8" ht="77.45" customHeight="1" thickBot="1">
      <c r="B11" s="463" t="s">
        <v>243</v>
      </c>
      <c r="C11" s="464" t="s">
        <v>373</v>
      </c>
      <c r="D11" s="903" t="str">
        <f t="shared" si="0"/>
        <v>　注）　上記以外に対する配慮事項を簡潔に記載してください。</v>
      </c>
      <c r="E11" s="903"/>
      <c r="F11" s="904"/>
    </row>
    <row r="12" spans="2:8"/>
    <row r="13" spans="2:8"/>
    <row r="46" spans="3:3" hidden="1">
      <c r="C46" s="551"/>
    </row>
    <row r="47" spans="3:3" hidden="1">
      <c r="C47" s="551"/>
    </row>
  </sheetData>
  <sheetProtection algorithmName="SHA-512" hashValue="YVXRKJnrVkjHWXUqUvbuxzVGGM8MvQKy5CIk+IEkhXsJqb5/FMS9Fc1Zk4YDvoWFE4VGZJ0ZB5tOyF/LNSDTgw==" saltValue="6EPPR4hVe4EFCjIn8qsr3g==" spinCount="100000" sheet="1" objects="1" scenarios="1"/>
  <mergeCells count="8">
    <mergeCell ref="D10:F10"/>
    <mergeCell ref="D11:F11"/>
    <mergeCell ref="D4:F4"/>
    <mergeCell ref="D5:F5"/>
    <mergeCell ref="D6:F6"/>
    <mergeCell ref="D7:F7"/>
    <mergeCell ref="D8:F8"/>
    <mergeCell ref="D9:F9"/>
  </mergeCells>
  <phoneticPr fontId="23"/>
  <printOptions horizontalCentered="1"/>
  <pageMargins left="0.7" right="0.7" top="0.75" bottom="0.75" header="0.3" footer="0.3"/>
  <pageSetup paperSize="9" fitToHeight="0"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209"/>
  <sheetViews>
    <sheetView showGridLines="0" zoomScaleNormal="100" zoomScaleSheetLayoutView="100" workbookViewId="0">
      <selection activeCell="J15" sqref="J15"/>
    </sheetView>
  </sheetViews>
  <sheetFormatPr defaultColWidth="0" defaultRowHeight="13.5" zeroHeight="1"/>
  <cols>
    <col min="1" max="1" width="0.75" style="461" customWidth="1"/>
    <col min="2" max="2" width="2.5" style="461" customWidth="1"/>
    <col min="3" max="3" width="19.375" style="461" customWidth="1"/>
    <col min="4" max="4" width="27.5" style="461" customWidth="1"/>
    <col min="5" max="9" width="10.625" style="461" customWidth="1"/>
    <col min="10" max="10" width="9.875" style="461" customWidth="1"/>
    <col min="11" max="11" width="0.875" customWidth="1"/>
    <col min="12" max="12" width="3.875" style="461" hidden="1" customWidth="1"/>
    <col min="13" max="13" width="6.125" style="461" hidden="1" customWidth="1"/>
    <col min="14" max="14" width="3.875" style="461" hidden="1" customWidth="1"/>
    <col min="15" max="15" width="7.25" style="461" hidden="1" customWidth="1"/>
    <col min="16" max="37" width="3.875" style="461" hidden="1" customWidth="1"/>
    <col min="38" max="41" width="5.5" style="461" hidden="1" customWidth="1"/>
    <col min="42" max="42" width="3.875" style="461" hidden="1" customWidth="1"/>
    <col min="43" max="43" width="13.625" hidden="1" customWidth="1"/>
    <col min="44" max="44" width="17.75" hidden="1" customWidth="1"/>
    <col min="45" max="45" width="14.25" style="461" hidden="1" customWidth="1"/>
    <col min="46" max="46" width="10.125" style="461" hidden="1" customWidth="1"/>
    <col min="47" max="16384" width="3.875" style="461" hidden="1"/>
  </cols>
  <sheetData>
    <row r="1" spans="2:48" ht="3.75" customHeight="1">
      <c r="E1"/>
      <c r="F1"/>
    </row>
    <row r="2" spans="2:48" ht="17.25">
      <c r="B2" s="493" t="str">
        <f>メイン!C6</f>
        <v>CASBEE-ウェルネスオフィス2025年版</v>
      </c>
      <c r="C2" s="494"/>
      <c r="D2" s="494"/>
      <c r="E2"/>
      <c r="F2"/>
      <c r="G2" s="476"/>
      <c r="H2" s="778" t="str">
        <f>メイン!B5</f>
        <v>バージョン</v>
      </c>
      <c r="I2" s="777" t="str">
        <f>メイン!C5</f>
        <v>CASBEE-WO_2025v1.0</v>
      </c>
      <c r="J2" s="476"/>
      <c r="L2"/>
      <c r="M2"/>
      <c r="N2"/>
      <c r="O2"/>
      <c r="P2"/>
    </row>
    <row r="3" spans="2:48" ht="14.25" thickBot="1">
      <c r="B3" s="477" t="str">
        <f>メイン!C11</f>
        <v>○○ビル</v>
      </c>
      <c r="C3" s="478"/>
      <c r="D3" s="479"/>
      <c r="E3" s="476"/>
      <c r="F3" s="372"/>
      <c r="G3" s="373" t="s">
        <v>231</v>
      </c>
      <c r="H3" s="371"/>
      <c r="I3" s="476"/>
      <c r="J3" s="476"/>
      <c r="L3"/>
      <c r="M3"/>
      <c r="N3"/>
      <c r="O3"/>
      <c r="P3" s="519"/>
    </row>
    <row r="4" spans="2:48" ht="3.75" customHeight="1" thickBot="1">
      <c r="B4" s="481"/>
      <c r="C4" s="482"/>
      <c r="D4" s="483"/>
      <c r="E4" s="483"/>
      <c r="F4" s="483"/>
      <c r="G4" s="483"/>
      <c r="H4" s="483"/>
      <c r="I4" s="484"/>
      <c r="J4" s="484"/>
      <c r="L4" s="484"/>
      <c r="M4"/>
      <c r="N4" s="484"/>
      <c r="O4" s="484"/>
      <c r="P4" s="483"/>
    </row>
    <row r="5" spans="2:48" ht="17.25" customHeight="1" thickBot="1">
      <c r="B5" s="485" t="s">
        <v>374</v>
      </c>
      <c r="C5" s="486"/>
      <c r="D5" s="520"/>
      <c r="E5" s="547"/>
      <c r="F5" s="487"/>
      <c r="G5" s="487"/>
      <c r="H5" s="487"/>
      <c r="I5" s="487"/>
      <c r="J5" s="573"/>
      <c r="M5"/>
      <c r="O5"/>
      <c r="P5" s="480"/>
      <c r="Q5" s="461" t="s">
        <v>383</v>
      </c>
      <c r="AH5" s="461" t="s">
        <v>974</v>
      </c>
      <c r="AL5" s="461" t="s">
        <v>522</v>
      </c>
      <c r="AR5" s="1" t="s">
        <v>1027</v>
      </c>
      <c r="AS5" s="495" t="s">
        <v>441</v>
      </c>
    </row>
    <row r="6" spans="2:48" ht="14.45" hidden="1" customHeight="1">
      <c r="B6" s="543"/>
      <c r="C6" s="488"/>
      <c r="D6" s="489"/>
      <c r="E6" s="490"/>
      <c r="F6" s="491"/>
      <c r="G6" s="491"/>
      <c r="H6" s="491"/>
      <c r="I6" s="491"/>
      <c r="J6" s="930" t="s">
        <v>170</v>
      </c>
      <c r="L6"/>
      <c r="M6"/>
      <c r="N6"/>
      <c r="O6"/>
      <c r="P6" s="480"/>
      <c r="AR6" s="1"/>
      <c r="AS6" s="495"/>
    </row>
    <row r="7" spans="2:48" ht="24.75" customHeight="1" thickBot="1">
      <c r="B7" s="604" t="s">
        <v>154</v>
      </c>
      <c r="C7" s="605"/>
      <c r="D7" s="606"/>
      <c r="E7" s="607" t="s">
        <v>416</v>
      </c>
      <c r="F7" s="608"/>
      <c r="G7" s="608"/>
      <c r="H7" s="608"/>
      <c r="I7" s="608"/>
      <c r="J7" s="931"/>
      <c r="L7" s="1" t="s">
        <v>413</v>
      </c>
      <c r="M7" s="1" t="s">
        <v>300</v>
      </c>
      <c r="N7" s="1" t="s">
        <v>414</v>
      </c>
      <c r="O7" s="1" t="s">
        <v>415</v>
      </c>
      <c r="P7" s="480"/>
      <c r="Q7" s="461" t="s">
        <v>85</v>
      </c>
      <c r="R7" s="461" t="s">
        <v>73</v>
      </c>
      <c r="S7" s="461" t="s">
        <v>384</v>
      </c>
      <c r="T7" s="461" t="s">
        <v>356</v>
      </c>
      <c r="U7" s="461" t="s">
        <v>357</v>
      </c>
      <c r="V7" s="461" t="s">
        <v>385</v>
      </c>
      <c r="AH7" s="461" t="s">
        <v>488</v>
      </c>
      <c r="AI7" s="461" t="s">
        <v>489</v>
      </c>
      <c r="AJ7" s="461" t="s">
        <v>490</v>
      </c>
      <c r="AK7" s="461" t="s">
        <v>491</v>
      </c>
      <c r="AL7" s="461" t="s">
        <v>488</v>
      </c>
      <c r="AM7" s="461" t="s">
        <v>489</v>
      </c>
      <c r="AN7" s="461" t="s">
        <v>490</v>
      </c>
      <c r="AO7" s="461" t="s">
        <v>491</v>
      </c>
      <c r="AR7" s="1"/>
      <c r="AS7" s="495"/>
    </row>
    <row r="8" spans="2:48" ht="18.75" thickBot="1">
      <c r="B8" s="580" t="s">
        <v>487</v>
      </c>
      <c r="C8" s="581"/>
      <c r="D8" s="582"/>
      <c r="E8" s="583"/>
      <c r="F8" s="584"/>
      <c r="G8" s="584"/>
      <c r="H8" s="584"/>
      <c r="I8" s="585"/>
      <c r="J8" s="586">
        <f>IFERROR(ROUNDDOWN(O8,1),0)</f>
        <v>3</v>
      </c>
      <c r="L8" s="1"/>
      <c r="M8" s="1"/>
      <c r="N8" s="544"/>
      <c r="O8" s="544">
        <f>IFERROR(AVERAGE(N9:N90),"-")</f>
        <v>3.0333333333333332</v>
      </c>
      <c r="P8" s="480"/>
      <c r="Q8" s="461">
        <f>IF(メイン!C45=メイン!I45,1,IF(メイン!C45=メイン!I46,1,IF(メイン!C45=メイン!I47,1,0)))</f>
        <v>0</v>
      </c>
      <c r="R8" s="461">
        <f>1-Q8</f>
        <v>1</v>
      </c>
      <c r="S8" s="461">
        <f>IF(メイン!C46=メイン!I84,1,0)</f>
        <v>0</v>
      </c>
      <c r="T8" s="461">
        <f>IF(メイン!C46=メイン!I85,1,0)</f>
        <v>0</v>
      </c>
      <c r="U8" s="461">
        <f>IF(メイン!C46=メイン!I86,1,0)</f>
        <v>0</v>
      </c>
      <c r="AH8" s="461">
        <f>SUM(AH10:AH92)</f>
        <v>21</v>
      </c>
      <c r="AI8" s="461">
        <f>SUM(AI10:AI92)</f>
        <v>20</v>
      </c>
      <c r="AJ8" s="461">
        <f>SUM(AJ10:AJ92)</f>
        <v>20</v>
      </c>
      <c r="AK8" s="461">
        <f>SUM(AK10:AK92)</f>
        <v>12</v>
      </c>
      <c r="AL8" s="827">
        <f>AVERAGE(AL10:AL92)</f>
        <v>3</v>
      </c>
      <c r="AM8" s="827">
        <f>AVERAGE(AM10:AM92)</f>
        <v>3</v>
      </c>
      <c r="AN8" s="827">
        <f>AVERAGE(AN10:AN92)</f>
        <v>3</v>
      </c>
      <c r="AO8" s="827">
        <f>AVERAGE(AO10:AO92)</f>
        <v>3</v>
      </c>
      <c r="AR8" s="1"/>
      <c r="AS8" s="495"/>
    </row>
    <row r="9" spans="2:48" ht="16.899999999999999" hidden="1" customHeight="1" thickBot="1">
      <c r="B9" s="574" t="s">
        <v>441</v>
      </c>
      <c r="C9" s="575"/>
      <c r="D9" s="576"/>
      <c r="E9" s="577"/>
      <c r="F9" s="578"/>
      <c r="G9" s="578"/>
      <c r="H9" s="578"/>
      <c r="I9" s="578"/>
      <c r="J9" s="579">
        <f t="shared" ref="J9" si="0">IFERROR(ROUNDDOWN(O9,1),0)</f>
        <v>0</v>
      </c>
      <c r="L9" s="1"/>
      <c r="M9" s="1"/>
      <c r="N9" s="544"/>
      <c r="O9" s="544"/>
      <c r="P9"/>
      <c r="Q9" s="495"/>
      <c r="R9" s="495"/>
      <c r="S9" s="495"/>
      <c r="T9" s="495"/>
      <c r="U9" s="495"/>
      <c r="V9" s="495">
        <f t="shared" ref="V9:V10" si="1">SUMPRODUCT($Q$8:$U$8,Q9:U9)</f>
        <v>0</v>
      </c>
      <c r="AH9" s="495"/>
      <c r="AI9" s="495"/>
      <c r="AJ9" s="495"/>
      <c r="AK9" s="495"/>
      <c r="AL9" s="495"/>
      <c r="AM9" s="495"/>
      <c r="AN9" s="495"/>
      <c r="AO9" s="495"/>
      <c r="AR9" s="1"/>
      <c r="AS9" s="495"/>
    </row>
    <row r="10" spans="2:48" ht="16.5" thickBot="1">
      <c r="B10" s="587" t="s">
        <v>809</v>
      </c>
      <c r="C10" s="588"/>
      <c r="D10" s="589"/>
      <c r="E10" s="590"/>
      <c r="F10" s="591"/>
      <c r="G10" s="591"/>
      <c r="H10" s="591"/>
      <c r="I10" s="591"/>
      <c r="J10" s="598">
        <f>IFERROR(ROUNDDOWN(O10,1),0)</f>
        <v>3.1</v>
      </c>
      <c r="L10" s="1"/>
      <c r="M10" s="1"/>
      <c r="N10" s="544"/>
      <c r="O10" s="544">
        <f>IFERROR(AVERAGE(N11:N29),"-")</f>
        <v>3.1428571428571428</v>
      </c>
      <c r="P10"/>
      <c r="Q10" s="495"/>
      <c r="R10" s="495"/>
      <c r="S10" s="495"/>
      <c r="T10" s="495"/>
      <c r="U10" s="495"/>
      <c r="V10" s="495">
        <f t="shared" si="1"/>
        <v>0</v>
      </c>
      <c r="AH10" s="558"/>
      <c r="AI10" s="558"/>
      <c r="AJ10" s="558"/>
      <c r="AK10" s="558"/>
      <c r="AL10" s="495" t="str">
        <f>IF(OR(AH10="",$J10="-"),"-",$J10*AH10)</f>
        <v>-</v>
      </c>
      <c r="AM10" s="495" t="str">
        <f>IF(OR(AI10="",$J10="-"),"-",$J10*AI10)</f>
        <v>-</v>
      </c>
      <c r="AN10" s="495" t="str">
        <f t="shared" ref="AN10" si="2">IF(OR(AJ10="",$J10="-"),"-",$J10*AJ10)</f>
        <v>-</v>
      </c>
      <c r="AO10" s="495" t="str">
        <f t="shared" ref="AO10" si="3">IF(OR(AK10="",$J10="-"),"-",$J10*AK10)</f>
        <v>-</v>
      </c>
      <c r="AR10" s="1"/>
      <c r="AS10" s="495"/>
    </row>
    <row r="11" spans="2:48" ht="16.5" customHeight="1">
      <c r="B11" s="523">
        <v>1</v>
      </c>
      <c r="C11" s="518" t="s">
        <v>422</v>
      </c>
      <c r="D11" s="535"/>
      <c r="E11" s="915"/>
      <c r="F11" s="916"/>
      <c r="G11" s="916"/>
      <c r="H11" s="916"/>
      <c r="I11" s="916"/>
      <c r="J11" s="545">
        <f>IFERROR(ROUNDDOWN(O11,1),0)</f>
        <v>3.3</v>
      </c>
      <c r="L11" s="1"/>
      <c r="M11" s="1">
        <f t="shared" ref="M11:M29" si="4">IF(V11&gt;0,0,1)</f>
        <v>1</v>
      </c>
      <c r="N11" s="1" t="str">
        <f t="shared" ref="N11:N29" si="5">IF(M11*L11=0,"-",M11*L11)</f>
        <v>-</v>
      </c>
      <c r="O11" s="544">
        <f>IFERROR(AVERAGE(N12:N17),"-")</f>
        <v>3.3333333333333335</v>
      </c>
      <c r="P11" s="480"/>
      <c r="Q11" s="495"/>
      <c r="R11" s="495"/>
      <c r="S11" s="495"/>
      <c r="T11" s="495"/>
      <c r="U11" s="495"/>
      <c r="V11" s="495">
        <f t="shared" ref="V11:V29" si="6">SUMPRODUCT($Q$8:$U$8,Q11:U11)</f>
        <v>0</v>
      </c>
      <c r="AH11" s="558"/>
      <c r="AI11" s="558"/>
      <c r="AJ11" s="558"/>
      <c r="AK11" s="558"/>
      <c r="AL11" s="495" t="str">
        <f t="shared" ref="AL11:AL74" si="7">IF(OR(AH11="",$J11="-"),"-",$J11*AH11)</f>
        <v>-</v>
      </c>
      <c r="AM11" s="495" t="str">
        <f t="shared" ref="AM11:AM74" si="8">IF(OR(AI11="",$J11="-"),"-",$J11*AI11)</f>
        <v>-</v>
      </c>
      <c r="AN11" s="495" t="str">
        <f t="shared" ref="AN11:AN74" si="9">IF(OR(AJ11="",$J11="-"),"-",$J11*AJ11)</f>
        <v>-</v>
      </c>
      <c r="AO11" s="495" t="str">
        <f t="shared" ref="AO11:AO74" si="10">IF(OR(AK11="",$J11="-"),"-",$J11*AK11)</f>
        <v>-</v>
      </c>
      <c r="AR11" s="1"/>
      <c r="AS11" s="495"/>
    </row>
    <row r="12" spans="2:48" ht="16.5" customHeight="1">
      <c r="B12" s="523"/>
      <c r="C12" s="917" t="s">
        <v>412</v>
      </c>
      <c r="D12" s="540" t="s">
        <v>341</v>
      </c>
      <c r="E12" s="907"/>
      <c r="F12" s="908"/>
      <c r="G12" s="908"/>
      <c r="H12" s="908"/>
      <c r="I12" s="909"/>
      <c r="J12" s="696">
        <f t="shared" ref="J12:J17" si="11">N12</f>
        <v>3</v>
      </c>
      <c r="L12" s="1">
        <f>採点Qw1!D9</f>
        <v>3</v>
      </c>
      <c r="M12" s="1">
        <f t="shared" si="4"/>
        <v>1</v>
      </c>
      <c r="N12" s="1">
        <f t="shared" si="5"/>
        <v>3</v>
      </c>
      <c r="O12" s="544"/>
      <c r="P12" s="480"/>
      <c r="Q12" s="495"/>
      <c r="R12" s="495"/>
      <c r="S12" s="495"/>
      <c r="T12" s="495"/>
      <c r="U12" s="495"/>
      <c r="V12" s="495">
        <f t="shared" si="6"/>
        <v>0</v>
      </c>
      <c r="AH12" s="495"/>
      <c r="AI12" s="495"/>
      <c r="AJ12" s="495"/>
      <c r="AK12" s="495"/>
      <c r="AL12" s="495" t="str">
        <f t="shared" si="7"/>
        <v>-</v>
      </c>
      <c r="AM12" s="495" t="str">
        <f t="shared" si="8"/>
        <v>-</v>
      </c>
      <c r="AN12" s="495" t="str">
        <f t="shared" si="9"/>
        <v>-</v>
      </c>
      <c r="AO12" s="495" t="str">
        <f t="shared" si="10"/>
        <v>-</v>
      </c>
      <c r="AQ12" t="str">
        <f>IF(BF10=1,"○","")</f>
        <v/>
      </c>
      <c r="AR12" s="1" t="s">
        <v>1022</v>
      </c>
      <c r="AS12" s="495">
        <f>IF(OR(AR12=$AQ$94,AR12=$AQ$95,AR12=$AQ$96),J12)</f>
        <v>3</v>
      </c>
    </row>
    <row r="13" spans="2:48" ht="16.5" customHeight="1">
      <c r="B13" s="523"/>
      <c r="C13" s="932"/>
      <c r="D13" s="540" t="s">
        <v>515</v>
      </c>
      <c r="E13" s="907"/>
      <c r="F13" s="908"/>
      <c r="G13" s="908"/>
      <c r="H13" s="908"/>
      <c r="I13" s="909"/>
      <c r="J13" s="696">
        <f t="shared" si="11"/>
        <v>3</v>
      </c>
      <c r="L13" s="1">
        <f>採点Qw1!D18</f>
        <v>3</v>
      </c>
      <c r="M13" s="1">
        <f t="shared" si="4"/>
        <v>1</v>
      </c>
      <c r="N13" s="1">
        <f t="shared" si="5"/>
        <v>3</v>
      </c>
      <c r="O13" s="544"/>
      <c r="P13" s="480"/>
      <c r="Q13" s="495"/>
      <c r="R13" s="495"/>
      <c r="S13" s="495"/>
      <c r="T13" s="495"/>
      <c r="U13" s="495"/>
      <c r="V13" s="495">
        <f t="shared" si="6"/>
        <v>0</v>
      </c>
      <c r="AH13" s="495"/>
      <c r="AI13" s="495"/>
      <c r="AJ13" s="495"/>
      <c r="AK13" s="495"/>
      <c r="AL13" s="495" t="str">
        <f t="shared" si="7"/>
        <v>-</v>
      </c>
      <c r="AM13" s="495" t="str">
        <f t="shared" si="8"/>
        <v>-</v>
      </c>
      <c r="AN13" s="495" t="str">
        <f t="shared" si="9"/>
        <v>-</v>
      </c>
      <c r="AO13" s="495" t="str">
        <f t="shared" si="10"/>
        <v>-</v>
      </c>
      <c r="AQ13" t="str">
        <f>IF(BF11=1,"○","")</f>
        <v/>
      </c>
      <c r="AR13" s="1" t="s">
        <v>1022</v>
      </c>
      <c r="AS13" s="495">
        <f t="shared" ref="AS13:AS76" si="12">IF(OR(AR13=$AQ$94,AR13=$AQ$95,AR13=$AQ$96),J13)</f>
        <v>3</v>
      </c>
      <c r="AU13"/>
      <c r="AV13"/>
    </row>
    <row r="14" spans="2:48" ht="16.5" customHeight="1">
      <c r="B14" s="523"/>
      <c r="C14" s="918"/>
      <c r="D14" s="645" t="s">
        <v>511</v>
      </c>
      <c r="E14" s="907"/>
      <c r="F14" s="908"/>
      <c r="G14" s="908"/>
      <c r="H14" s="908"/>
      <c r="I14" s="909"/>
      <c r="J14" s="696">
        <f t="shared" si="11"/>
        <v>3</v>
      </c>
      <c r="L14" s="1">
        <f>採点Qw1!D27</f>
        <v>3</v>
      </c>
      <c r="M14" s="1">
        <f t="shared" si="4"/>
        <v>1</v>
      </c>
      <c r="N14" s="1">
        <f t="shared" si="5"/>
        <v>3</v>
      </c>
      <c r="O14" s="544"/>
      <c r="P14" s="480"/>
      <c r="Q14" s="495"/>
      <c r="R14" s="495"/>
      <c r="S14" s="495"/>
      <c r="T14" s="495"/>
      <c r="U14" s="495"/>
      <c r="V14" s="495">
        <f t="shared" si="6"/>
        <v>0</v>
      </c>
      <c r="AH14" s="495"/>
      <c r="AI14" s="495"/>
      <c r="AJ14" s="495"/>
      <c r="AK14" s="495"/>
      <c r="AL14" s="495" t="str">
        <f t="shared" si="7"/>
        <v>-</v>
      </c>
      <c r="AM14" s="495" t="str">
        <f t="shared" si="8"/>
        <v>-</v>
      </c>
      <c r="AN14" s="495" t="str">
        <f t="shared" si="9"/>
        <v>-</v>
      </c>
      <c r="AO14" s="495" t="str">
        <f t="shared" si="10"/>
        <v>-</v>
      </c>
      <c r="AQ14" t="str">
        <f>IF(BF12=1,"○","")</f>
        <v/>
      </c>
      <c r="AR14" s="1" t="s">
        <v>1022</v>
      </c>
      <c r="AS14" s="495">
        <f t="shared" si="12"/>
        <v>3</v>
      </c>
    </row>
    <row r="15" spans="2:48" s="841" customFormat="1" ht="16.5" customHeight="1">
      <c r="B15" s="835"/>
      <c r="C15" s="910" t="s">
        <v>1078</v>
      </c>
      <c r="D15" s="911"/>
      <c r="E15" s="912"/>
      <c r="F15" s="913"/>
      <c r="G15" s="913"/>
      <c r="H15" s="913"/>
      <c r="I15" s="914"/>
      <c r="J15" s="836">
        <f>N15</f>
        <v>5</v>
      </c>
      <c r="K15" s="837"/>
      <c r="L15" s="838">
        <f>採点Qw1!D48</f>
        <v>5</v>
      </c>
      <c r="M15" s="838">
        <f t="shared" ref="M15" si="13">IF(V15&gt;0,0,1)</f>
        <v>1</v>
      </c>
      <c r="N15" s="838">
        <f t="shared" ref="N15" si="14">IF(M15*L15=0,"-",M15*L15)</f>
        <v>5</v>
      </c>
      <c r="O15" s="839"/>
      <c r="P15" s="840"/>
      <c r="Q15" s="842"/>
      <c r="R15" s="842"/>
      <c r="S15" s="842"/>
      <c r="T15" s="842"/>
      <c r="U15" s="842"/>
      <c r="V15" s="842">
        <f t="shared" si="6"/>
        <v>0</v>
      </c>
      <c r="W15" s="843"/>
      <c r="X15" s="843"/>
      <c r="Y15" s="843"/>
      <c r="Z15" s="843"/>
      <c r="AA15" s="843"/>
      <c r="AB15" s="843"/>
      <c r="AC15" s="843"/>
      <c r="AD15" s="843"/>
      <c r="AE15" s="843"/>
      <c r="AF15" s="843"/>
      <c r="AG15" s="843"/>
      <c r="AH15" s="842"/>
      <c r="AI15" s="842"/>
      <c r="AJ15" s="842"/>
      <c r="AK15" s="842"/>
      <c r="AL15" s="842" t="str">
        <f t="shared" ref="AL15" si="15">IF(OR(AH15="",$J15="-"),"-",$J15*AH15)</f>
        <v>-</v>
      </c>
      <c r="AM15" s="842" t="str">
        <f t="shared" ref="AM15" si="16">IF(OR(AI15="",$J15="-"),"-",$J15*AI15)</f>
        <v>-</v>
      </c>
      <c r="AN15" s="842" t="str">
        <f t="shared" ref="AN15" si="17">IF(OR(AJ15="",$J15="-"),"-",$J15*AJ15)</f>
        <v>-</v>
      </c>
      <c r="AO15" s="842" t="str">
        <f t="shared" ref="AO15" si="18">IF(OR(AK15="",$J15="-"),"-",$J15*AK15)</f>
        <v>-</v>
      </c>
      <c r="AQ15" t="str">
        <f>IF(BF14=1,"○","")</f>
        <v/>
      </c>
      <c r="AR15" s="1" t="s">
        <v>1023</v>
      </c>
      <c r="AS15" s="495" t="b">
        <f t="shared" si="12"/>
        <v>0</v>
      </c>
      <c r="AT15" s="461"/>
    </row>
    <row r="16" spans="2:48" ht="16.5" customHeight="1">
      <c r="B16" s="534"/>
      <c r="C16" s="910" t="s">
        <v>1019</v>
      </c>
      <c r="D16" s="911"/>
      <c r="E16" s="907"/>
      <c r="F16" s="908"/>
      <c r="G16" s="908"/>
      <c r="H16" s="908"/>
      <c r="I16" s="909"/>
      <c r="J16" s="696">
        <f t="shared" si="11"/>
        <v>3</v>
      </c>
      <c r="L16" s="1">
        <f>採点Qw1!D57</f>
        <v>3</v>
      </c>
      <c r="M16" s="1">
        <f t="shared" si="4"/>
        <v>1</v>
      </c>
      <c r="N16" s="1">
        <f t="shared" si="5"/>
        <v>3</v>
      </c>
      <c r="O16" s="544"/>
      <c r="P16" s="480"/>
      <c r="Q16" s="495"/>
      <c r="R16" s="495"/>
      <c r="S16" s="618"/>
      <c r="T16" s="495"/>
      <c r="U16" s="495"/>
      <c r="V16" s="495">
        <f t="shared" si="6"/>
        <v>0</v>
      </c>
      <c r="AH16" s="495"/>
      <c r="AI16" s="495"/>
      <c r="AJ16" s="495"/>
      <c r="AK16" s="495"/>
      <c r="AL16" s="495" t="str">
        <f t="shared" si="7"/>
        <v>-</v>
      </c>
      <c r="AM16" s="495" t="str">
        <f t="shared" si="8"/>
        <v>-</v>
      </c>
      <c r="AN16" s="495" t="str">
        <f t="shared" si="9"/>
        <v>-</v>
      </c>
      <c r="AO16" s="495" t="str">
        <f t="shared" si="10"/>
        <v>-</v>
      </c>
      <c r="AQ16" t="str">
        <f>IF(BF15=1,"○","")</f>
        <v/>
      </c>
      <c r="AR16" s="1" t="s">
        <v>1028</v>
      </c>
      <c r="AS16" s="495" t="b">
        <f t="shared" si="12"/>
        <v>0</v>
      </c>
    </row>
    <row r="17" spans="2:45" ht="16.5" customHeight="1">
      <c r="B17" s="533"/>
      <c r="C17" s="910" t="s">
        <v>1020</v>
      </c>
      <c r="D17" s="911"/>
      <c r="E17" s="907"/>
      <c r="F17" s="908"/>
      <c r="G17" s="908"/>
      <c r="H17" s="908"/>
      <c r="I17" s="909"/>
      <c r="J17" s="696">
        <f t="shared" si="11"/>
        <v>3</v>
      </c>
      <c r="L17" s="1">
        <f>採点Qw1!D67</f>
        <v>3</v>
      </c>
      <c r="M17" s="1">
        <f t="shared" si="4"/>
        <v>1</v>
      </c>
      <c r="N17" s="1">
        <f t="shared" si="5"/>
        <v>3</v>
      </c>
      <c r="O17" s="544"/>
      <c r="P17" s="480"/>
      <c r="Q17" s="495"/>
      <c r="R17" s="495"/>
      <c r="S17" s="495"/>
      <c r="T17" s="495"/>
      <c r="U17" s="495"/>
      <c r="V17" s="495">
        <f t="shared" si="6"/>
        <v>0</v>
      </c>
      <c r="AH17" s="495"/>
      <c r="AI17" s="495"/>
      <c r="AJ17" s="495"/>
      <c r="AK17" s="495"/>
      <c r="AL17" s="495" t="str">
        <f t="shared" si="7"/>
        <v>-</v>
      </c>
      <c r="AM17" s="495" t="str">
        <f t="shared" si="8"/>
        <v>-</v>
      </c>
      <c r="AN17" s="495" t="str">
        <f t="shared" si="9"/>
        <v>-</v>
      </c>
      <c r="AO17" s="495" t="str">
        <f t="shared" si="10"/>
        <v>-</v>
      </c>
      <c r="AQ17" t="str">
        <f>IF(BF16=1,"○","")</f>
        <v/>
      </c>
      <c r="AR17" s="1" t="s">
        <v>1028</v>
      </c>
      <c r="AS17" s="495" t="b">
        <f t="shared" si="12"/>
        <v>0</v>
      </c>
    </row>
    <row r="18" spans="2:45" ht="16.5" customHeight="1">
      <c r="B18" s="523">
        <v>2</v>
      </c>
      <c r="C18" s="518" t="s">
        <v>821</v>
      </c>
      <c r="D18" s="538"/>
      <c r="E18" s="601"/>
      <c r="F18" s="602"/>
      <c r="G18" s="602"/>
      <c r="H18" s="602"/>
      <c r="I18" s="603"/>
      <c r="J18" s="546">
        <f>IFERROR(ROUNDDOWN(O18,1),0)</f>
        <v>3</v>
      </c>
      <c r="L18" s="495"/>
      <c r="M18" s="1">
        <f t="shared" si="4"/>
        <v>1</v>
      </c>
      <c r="N18" s="1" t="str">
        <f t="shared" si="5"/>
        <v>-</v>
      </c>
      <c r="O18" s="544">
        <f>IFERROR(AVERAGE(N19:N20),"-")</f>
        <v>3</v>
      </c>
      <c r="P18" s="480"/>
      <c r="Q18" s="495"/>
      <c r="R18" s="495"/>
      <c r="S18" s="495"/>
      <c r="T18" s="495"/>
      <c r="U18" s="495"/>
      <c r="V18" s="495">
        <f t="shared" si="6"/>
        <v>0</v>
      </c>
      <c r="AH18" s="558"/>
      <c r="AI18" s="558"/>
      <c r="AJ18" s="558"/>
      <c r="AK18" s="558"/>
      <c r="AL18" s="495" t="str">
        <f t="shared" si="7"/>
        <v>-</v>
      </c>
      <c r="AM18" s="495" t="str">
        <f t="shared" si="8"/>
        <v>-</v>
      </c>
      <c r="AN18" s="495" t="str">
        <f t="shared" si="9"/>
        <v>-</v>
      </c>
      <c r="AO18" s="495" t="str">
        <f t="shared" si="10"/>
        <v>-</v>
      </c>
      <c r="AR18" s="1"/>
      <c r="AS18" s="495" t="b">
        <f t="shared" si="12"/>
        <v>0</v>
      </c>
    </row>
    <row r="19" spans="2:45" ht="16.5" customHeight="1">
      <c r="B19" s="523"/>
      <c r="C19" s="492" t="s">
        <v>822</v>
      </c>
      <c r="D19" s="541"/>
      <c r="E19" s="907"/>
      <c r="F19" s="908"/>
      <c r="G19" s="908"/>
      <c r="H19" s="908"/>
      <c r="I19" s="909"/>
      <c r="J19" s="696">
        <f>N19</f>
        <v>3</v>
      </c>
      <c r="L19" s="1">
        <f>採点Qw1!D77</f>
        <v>3</v>
      </c>
      <c r="M19" s="1">
        <f t="shared" si="4"/>
        <v>1</v>
      </c>
      <c r="N19" s="1">
        <f t="shared" si="5"/>
        <v>3</v>
      </c>
      <c r="O19" s="544"/>
      <c r="P19" s="480"/>
      <c r="Q19" s="495"/>
      <c r="R19" s="495"/>
      <c r="S19" s="495"/>
      <c r="T19" s="495"/>
      <c r="U19" s="495"/>
      <c r="V19" s="495">
        <f t="shared" si="6"/>
        <v>0</v>
      </c>
      <c r="AH19" s="495"/>
      <c r="AI19" s="495"/>
      <c r="AJ19" s="495"/>
      <c r="AK19" s="495"/>
      <c r="AL19" s="495" t="str">
        <f t="shared" si="7"/>
        <v>-</v>
      </c>
      <c r="AM19" s="495" t="str">
        <f t="shared" si="8"/>
        <v>-</v>
      </c>
      <c r="AN19" s="495" t="str">
        <f t="shared" si="9"/>
        <v>-</v>
      </c>
      <c r="AO19" s="495" t="str">
        <f t="shared" si="10"/>
        <v>-</v>
      </c>
      <c r="AQ19" t="str">
        <f t="shared" ref="AQ19:AQ20" si="19">IF(BF19=1,"○","")</f>
        <v/>
      </c>
      <c r="AR19" s="1" t="s">
        <v>1022</v>
      </c>
      <c r="AS19" s="495">
        <f t="shared" si="12"/>
        <v>3</v>
      </c>
    </row>
    <row r="20" spans="2:45" ht="16.5" customHeight="1">
      <c r="B20" s="531"/>
      <c r="C20" s="910" t="s">
        <v>823</v>
      </c>
      <c r="D20" s="911"/>
      <c r="E20" s="919"/>
      <c r="F20" s="920"/>
      <c r="G20" s="920"/>
      <c r="H20" s="920"/>
      <c r="I20" s="921"/>
      <c r="J20" s="736">
        <f>N20</f>
        <v>3</v>
      </c>
      <c r="L20" s="1">
        <f>採点Qw1!D97</f>
        <v>3</v>
      </c>
      <c r="M20" s="1">
        <f t="shared" si="4"/>
        <v>1</v>
      </c>
      <c r="N20" s="1">
        <f t="shared" si="5"/>
        <v>3</v>
      </c>
      <c r="O20" s="544"/>
      <c r="P20" s="480"/>
      <c r="Q20" s="495"/>
      <c r="R20" s="495"/>
      <c r="S20" s="495"/>
      <c r="T20" s="495"/>
      <c r="U20" s="495"/>
      <c r="V20" s="495">
        <f t="shared" si="6"/>
        <v>0</v>
      </c>
      <c r="AH20" s="495"/>
      <c r="AI20" s="495"/>
      <c r="AJ20" s="495"/>
      <c r="AK20" s="495"/>
      <c r="AL20" s="495" t="str">
        <f t="shared" si="7"/>
        <v>-</v>
      </c>
      <c r="AM20" s="495" t="str">
        <f t="shared" si="8"/>
        <v>-</v>
      </c>
      <c r="AN20" s="495" t="str">
        <f t="shared" si="9"/>
        <v>-</v>
      </c>
      <c r="AO20" s="495" t="str">
        <f t="shared" si="10"/>
        <v>-</v>
      </c>
      <c r="AQ20" t="str">
        <f t="shared" si="19"/>
        <v/>
      </c>
      <c r="AR20" s="1" t="s">
        <v>1028</v>
      </c>
      <c r="AS20" s="495" t="b">
        <f t="shared" si="12"/>
        <v>0</v>
      </c>
    </row>
    <row r="21" spans="2:45" ht="16.5" customHeight="1">
      <c r="B21" s="523">
        <v>3</v>
      </c>
      <c r="C21" s="732" t="s">
        <v>381</v>
      </c>
      <c r="D21" s="535"/>
      <c r="E21" s="733"/>
      <c r="F21" s="734"/>
      <c r="G21" s="734"/>
      <c r="H21" s="734"/>
      <c r="I21" s="735"/>
      <c r="J21" s="545">
        <f>IFERROR(ROUNDDOWN(O21,1),0)</f>
        <v>3</v>
      </c>
      <c r="L21" s="495"/>
      <c r="M21" s="1">
        <f t="shared" si="4"/>
        <v>1</v>
      </c>
      <c r="N21" s="1" t="str">
        <f t="shared" si="5"/>
        <v>-</v>
      </c>
      <c r="O21" s="544">
        <f>IFERROR(AVERAGE(N22:N25),"-")</f>
        <v>3</v>
      </c>
      <c r="P21" s="480"/>
      <c r="Q21" s="495"/>
      <c r="R21" s="495"/>
      <c r="S21" s="495"/>
      <c r="T21" s="495"/>
      <c r="U21" s="495"/>
      <c r="V21" s="495">
        <f t="shared" si="6"/>
        <v>0</v>
      </c>
      <c r="AH21" s="558"/>
      <c r="AI21" s="558"/>
      <c r="AJ21" s="558"/>
      <c r="AK21" s="558"/>
      <c r="AL21" s="495" t="str">
        <f t="shared" si="7"/>
        <v>-</v>
      </c>
      <c r="AM21" s="495" t="str">
        <f t="shared" si="8"/>
        <v>-</v>
      </c>
      <c r="AN21" s="495" t="str">
        <f t="shared" si="9"/>
        <v>-</v>
      </c>
      <c r="AO21" s="495" t="str">
        <f t="shared" si="10"/>
        <v>-</v>
      </c>
      <c r="AR21" s="1"/>
      <c r="AS21" s="495" t="b">
        <f t="shared" si="12"/>
        <v>0</v>
      </c>
    </row>
    <row r="22" spans="2:45" ht="16.5" customHeight="1">
      <c r="B22" s="523"/>
      <c r="C22" s="599" t="s">
        <v>827</v>
      </c>
      <c r="D22" s="600"/>
      <c r="E22" s="907"/>
      <c r="F22" s="908"/>
      <c r="G22" s="908"/>
      <c r="H22" s="908"/>
      <c r="I22" s="909"/>
      <c r="J22" s="696">
        <f>N22</f>
        <v>3</v>
      </c>
      <c r="L22" s="1">
        <f>採点Qw1!D107</f>
        <v>3</v>
      </c>
      <c r="M22" s="1">
        <f t="shared" si="4"/>
        <v>1</v>
      </c>
      <c r="N22" s="1">
        <f t="shared" si="5"/>
        <v>3</v>
      </c>
      <c r="O22" s="544"/>
      <c r="P22" s="480"/>
      <c r="Q22" s="495"/>
      <c r="R22" s="495"/>
      <c r="S22" s="495"/>
      <c r="T22" s="495"/>
      <c r="U22" s="495"/>
      <c r="V22" s="495">
        <f t="shared" si="6"/>
        <v>0</v>
      </c>
      <c r="AH22" s="495"/>
      <c r="AI22" s="495"/>
      <c r="AJ22" s="495"/>
      <c r="AK22" s="495"/>
      <c r="AL22" s="495" t="str">
        <f t="shared" si="7"/>
        <v>-</v>
      </c>
      <c r="AM22" s="495" t="str">
        <f t="shared" si="8"/>
        <v>-</v>
      </c>
      <c r="AN22" s="495" t="str">
        <f t="shared" si="9"/>
        <v>-</v>
      </c>
      <c r="AO22" s="495" t="str">
        <f t="shared" si="10"/>
        <v>-</v>
      </c>
      <c r="AQ22" t="str">
        <f t="shared" ref="AQ22:AQ25" si="20">IF(BF22=1,"○","")</f>
        <v/>
      </c>
      <c r="AR22" s="1" t="s">
        <v>1022</v>
      </c>
      <c r="AS22" s="495">
        <f t="shared" si="12"/>
        <v>3</v>
      </c>
    </row>
    <row r="23" spans="2:45" ht="16.5" customHeight="1">
      <c r="B23" s="523"/>
      <c r="C23" s="599" t="s">
        <v>828</v>
      </c>
      <c r="D23" s="600"/>
      <c r="E23" s="907"/>
      <c r="F23" s="908"/>
      <c r="G23" s="908"/>
      <c r="H23" s="908"/>
      <c r="I23" s="909"/>
      <c r="J23" s="696">
        <f>N23</f>
        <v>3</v>
      </c>
      <c r="L23" s="1">
        <f>採点Qw1!D116</f>
        <v>3</v>
      </c>
      <c r="M23" s="1">
        <f t="shared" si="4"/>
        <v>1</v>
      </c>
      <c r="N23" s="1">
        <f t="shared" si="5"/>
        <v>3</v>
      </c>
      <c r="O23" s="544"/>
      <c r="P23" s="480"/>
      <c r="Q23" s="495"/>
      <c r="R23" s="495"/>
      <c r="S23" s="495"/>
      <c r="T23" s="495"/>
      <c r="U23" s="495"/>
      <c r="V23" s="495">
        <f t="shared" si="6"/>
        <v>0</v>
      </c>
      <c r="AH23" s="495"/>
      <c r="AI23" s="495"/>
      <c r="AJ23" s="495"/>
      <c r="AK23" s="495"/>
      <c r="AL23" s="495" t="str">
        <f t="shared" si="7"/>
        <v>-</v>
      </c>
      <c r="AM23" s="495" t="str">
        <f t="shared" si="8"/>
        <v>-</v>
      </c>
      <c r="AN23" s="495" t="str">
        <f t="shared" si="9"/>
        <v>-</v>
      </c>
      <c r="AO23" s="495" t="str">
        <f t="shared" si="10"/>
        <v>-</v>
      </c>
      <c r="AQ23" t="str">
        <f t="shared" si="20"/>
        <v/>
      </c>
      <c r="AR23" s="1" t="s">
        <v>1022</v>
      </c>
      <c r="AS23" s="495">
        <f t="shared" si="12"/>
        <v>3</v>
      </c>
    </row>
    <row r="24" spans="2:45" ht="16.5" customHeight="1">
      <c r="B24" s="523"/>
      <c r="C24" s="933" t="s">
        <v>1048</v>
      </c>
      <c r="D24" s="540" t="s">
        <v>829</v>
      </c>
      <c r="E24" s="907"/>
      <c r="F24" s="908"/>
      <c r="G24" s="908"/>
      <c r="H24" s="908"/>
      <c r="I24" s="909"/>
      <c r="J24" s="696">
        <f>N24</f>
        <v>2</v>
      </c>
      <c r="L24" s="1">
        <f>採点Qw1!D126</f>
        <v>2</v>
      </c>
      <c r="M24" s="1">
        <f t="shared" si="4"/>
        <v>1</v>
      </c>
      <c r="N24" s="1">
        <f t="shared" si="5"/>
        <v>2</v>
      </c>
      <c r="O24" s="544"/>
      <c r="P24" s="480"/>
      <c r="Q24" s="495">
        <v>1</v>
      </c>
      <c r="R24" s="495"/>
      <c r="S24" s="495"/>
      <c r="T24" s="495"/>
      <c r="U24" s="495"/>
      <c r="V24" s="495">
        <f t="shared" si="6"/>
        <v>0</v>
      </c>
      <c r="AH24" s="495"/>
      <c r="AI24" s="495"/>
      <c r="AJ24" s="495"/>
      <c r="AK24" s="495"/>
      <c r="AL24" s="495" t="str">
        <f t="shared" si="7"/>
        <v>-</v>
      </c>
      <c r="AM24" s="495" t="str">
        <f t="shared" si="8"/>
        <v>-</v>
      </c>
      <c r="AN24" s="495" t="str">
        <f t="shared" si="9"/>
        <v>-</v>
      </c>
      <c r="AO24" s="495" t="str">
        <f t="shared" si="10"/>
        <v>-</v>
      </c>
      <c r="AQ24" t="str">
        <f t="shared" si="20"/>
        <v/>
      </c>
      <c r="AR24" s="1" t="s">
        <v>1022</v>
      </c>
      <c r="AS24" s="495">
        <f t="shared" si="12"/>
        <v>2</v>
      </c>
    </row>
    <row r="25" spans="2:45" ht="16.5" customHeight="1">
      <c r="B25" s="523"/>
      <c r="C25" s="934"/>
      <c r="D25" s="540" t="s">
        <v>830</v>
      </c>
      <c r="E25" s="907"/>
      <c r="F25" s="908"/>
      <c r="G25" s="908"/>
      <c r="H25" s="908"/>
      <c r="I25" s="909"/>
      <c r="J25" s="696">
        <f>N25</f>
        <v>4</v>
      </c>
      <c r="L25" s="1">
        <f>採点Qw1!D135</f>
        <v>4</v>
      </c>
      <c r="M25" s="1">
        <f t="shared" si="4"/>
        <v>1</v>
      </c>
      <c r="N25" s="1">
        <f t="shared" si="5"/>
        <v>4</v>
      </c>
      <c r="O25" s="544"/>
      <c r="P25" s="480"/>
      <c r="Q25" s="495">
        <v>1</v>
      </c>
      <c r="R25" s="495"/>
      <c r="S25" s="495"/>
      <c r="T25" s="495"/>
      <c r="U25" s="495"/>
      <c r="V25" s="495">
        <f t="shared" si="6"/>
        <v>0</v>
      </c>
      <c r="AH25" s="495"/>
      <c r="AI25" s="495"/>
      <c r="AJ25" s="495"/>
      <c r="AK25" s="495"/>
      <c r="AL25" s="495" t="str">
        <f t="shared" si="7"/>
        <v>-</v>
      </c>
      <c r="AM25" s="495" t="str">
        <f t="shared" si="8"/>
        <v>-</v>
      </c>
      <c r="AN25" s="495" t="str">
        <f t="shared" si="9"/>
        <v>-</v>
      </c>
      <c r="AO25" s="495" t="str">
        <f t="shared" si="10"/>
        <v>-</v>
      </c>
      <c r="AQ25" t="str">
        <f t="shared" si="20"/>
        <v/>
      </c>
      <c r="AR25" s="1" t="s">
        <v>1022</v>
      </c>
      <c r="AS25" s="495">
        <f t="shared" si="12"/>
        <v>4</v>
      </c>
    </row>
    <row r="26" spans="2:45" ht="16.5" customHeight="1">
      <c r="B26" s="530">
        <v>4</v>
      </c>
      <c r="C26" s="517" t="s">
        <v>382</v>
      </c>
      <c r="D26" s="537"/>
      <c r="E26" s="601"/>
      <c r="F26" s="602"/>
      <c r="G26" s="602"/>
      <c r="H26" s="602"/>
      <c r="I26" s="603"/>
      <c r="J26" s="546">
        <f>IFERROR(ROUNDDOWN(O26,1),0)</f>
        <v>3</v>
      </c>
      <c r="L26" s="495"/>
      <c r="M26" s="1">
        <f t="shared" si="4"/>
        <v>1</v>
      </c>
      <c r="N26" s="1" t="str">
        <f t="shared" si="5"/>
        <v>-</v>
      </c>
      <c r="O26" s="544">
        <f>IFERROR(AVERAGE(N27),"-")</f>
        <v>3</v>
      </c>
      <c r="P26" s="480"/>
      <c r="Q26" s="495"/>
      <c r="R26" s="495"/>
      <c r="S26" s="495"/>
      <c r="T26" s="495"/>
      <c r="U26" s="495"/>
      <c r="V26" s="495">
        <f t="shared" si="6"/>
        <v>0</v>
      </c>
      <c r="AH26" s="558"/>
      <c r="AI26" s="558"/>
      <c r="AJ26" s="558"/>
      <c r="AK26" s="558"/>
      <c r="AL26" s="495" t="str">
        <f t="shared" si="7"/>
        <v>-</v>
      </c>
      <c r="AM26" s="495" t="str">
        <f t="shared" si="8"/>
        <v>-</v>
      </c>
      <c r="AN26" s="495" t="str">
        <f t="shared" si="9"/>
        <v>-</v>
      </c>
      <c r="AO26" s="495" t="str">
        <f t="shared" si="10"/>
        <v>-</v>
      </c>
      <c r="AR26" s="1"/>
      <c r="AS26" s="495" t="b">
        <f t="shared" si="12"/>
        <v>0</v>
      </c>
    </row>
    <row r="27" spans="2:45" ht="16.5" customHeight="1">
      <c r="B27" s="531"/>
      <c r="C27" s="492" t="s">
        <v>826</v>
      </c>
      <c r="D27" s="541"/>
      <c r="E27" s="907"/>
      <c r="F27" s="908"/>
      <c r="G27" s="908"/>
      <c r="H27" s="908"/>
      <c r="I27" s="909"/>
      <c r="J27" s="696">
        <f>N27</f>
        <v>3</v>
      </c>
      <c r="L27" s="1">
        <f>採点Qw1!D145</f>
        <v>3</v>
      </c>
      <c r="M27" s="1">
        <f t="shared" si="4"/>
        <v>1</v>
      </c>
      <c r="N27" s="1">
        <f t="shared" si="5"/>
        <v>3</v>
      </c>
      <c r="O27" s="544"/>
      <c r="P27" s="480"/>
      <c r="Q27" s="495"/>
      <c r="R27" s="495"/>
      <c r="S27" s="495"/>
      <c r="T27" s="495"/>
      <c r="U27" s="495"/>
      <c r="V27" s="495">
        <f t="shared" si="6"/>
        <v>0</v>
      </c>
      <c r="AH27" s="495"/>
      <c r="AI27" s="495"/>
      <c r="AJ27" s="495"/>
      <c r="AK27" s="495"/>
      <c r="AL27" s="495" t="str">
        <f t="shared" si="7"/>
        <v>-</v>
      </c>
      <c r="AM27" s="495" t="str">
        <f t="shared" si="8"/>
        <v>-</v>
      </c>
      <c r="AN27" s="495" t="str">
        <f t="shared" si="9"/>
        <v>-</v>
      </c>
      <c r="AO27" s="495" t="str">
        <f t="shared" si="10"/>
        <v>-</v>
      </c>
      <c r="AQ27" t="str">
        <f t="shared" ref="AQ27" si="21">IF(BF27=1,"○","")</f>
        <v/>
      </c>
      <c r="AR27" s="1" t="s">
        <v>1022</v>
      </c>
      <c r="AS27" s="495">
        <f t="shared" si="12"/>
        <v>3</v>
      </c>
    </row>
    <row r="28" spans="2:45" ht="16.5" customHeight="1">
      <c r="B28" s="534">
        <v>5</v>
      </c>
      <c r="C28" s="516" t="s">
        <v>824</v>
      </c>
      <c r="D28" s="521"/>
      <c r="E28" s="601"/>
      <c r="F28" s="602"/>
      <c r="G28" s="602"/>
      <c r="H28" s="602"/>
      <c r="I28" s="603"/>
      <c r="J28" s="546">
        <f>IFERROR(ROUNDDOWN(O28,1),0)</f>
        <v>3</v>
      </c>
      <c r="L28" s="1"/>
      <c r="M28" s="1">
        <f t="shared" si="4"/>
        <v>1</v>
      </c>
      <c r="N28" s="1" t="str">
        <f t="shared" si="5"/>
        <v>-</v>
      </c>
      <c r="O28" s="544">
        <f>IFERROR(AVERAGE(N29),"-")</f>
        <v>3</v>
      </c>
      <c r="P28" s="480"/>
      <c r="Q28" s="495"/>
      <c r="R28" s="495"/>
      <c r="S28" s="495"/>
      <c r="T28" s="495"/>
      <c r="U28" s="495"/>
      <c r="V28" s="495">
        <f t="shared" si="6"/>
        <v>0</v>
      </c>
      <c r="AH28" s="558"/>
      <c r="AI28" s="558"/>
      <c r="AJ28" s="558"/>
      <c r="AK28" s="558"/>
      <c r="AL28" s="495" t="str">
        <f t="shared" si="7"/>
        <v>-</v>
      </c>
      <c r="AM28" s="495" t="str">
        <f t="shared" si="8"/>
        <v>-</v>
      </c>
      <c r="AN28" s="495" t="str">
        <f t="shared" si="9"/>
        <v>-</v>
      </c>
      <c r="AO28" s="495" t="str">
        <f t="shared" si="10"/>
        <v>-</v>
      </c>
      <c r="AR28" s="1"/>
      <c r="AS28" s="495" t="b">
        <f t="shared" si="12"/>
        <v>0</v>
      </c>
    </row>
    <row r="29" spans="2:45" ht="16.5" customHeight="1" thickBot="1">
      <c r="B29" s="529"/>
      <c r="C29" s="910" t="s">
        <v>825</v>
      </c>
      <c r="D29" s="911"/>
      <c r="E29" s="907"/>
      <c r="F29" s="908"/>
      <c r="G29" s="908"/>
      <c r="H29" s="908"/>
      <c r="I29" s="909"/>
      <c r="J29" s="696">
        <f>N29</f>
        <v>3</v>
      </c>
      <c r="L29" s="1">
        <f>採点Qw1!D163</f>
        <v>3</v>
      </c>
      <c r="M29" s="1">
        <f t="shared" si="4"/>
        <v>1</v>
      </c>
      <c r="N29" s="1">
        <f t="shared" si="5"/>
        <v>3</v>
      </c>
      <c r="O29" s="544"/>
      <c r="P29" s="480"/>
      <c r="Q29" s="495"/>
      <c r="R29" s="495"/>
      <c r="S29" s="495"/>
      <c r="T29" s="495"/>
      <c r="U29" s="495"/>
      <c r="V29" s="495">
        <f t="shared" si="6"/>
        <v>0</v>
      </c>
      <c r="AH29" s="495"/>
      <c r="AI29" s="495"/>
      <c r="AJ29" s="495"/>
      <c r="AK29" s="495">
        <v>1</v>
      </c>
      <c r="AL29" s="495" t="str">
        <f t="shared" si="7"/>
        <v>-</v>
      </c>
      <c r="AM29" s="495" t="str">
        <f t="shared" si="8"/>
        <v>-</v>
      </c>
      <c r="AN29" s="495" t="str">
        <f t="shared" si="9"/>
        <v>-</v>
      </c>
      <c r="AO29" s="495">
        <f t="shared" si="10"/>
        <v>3</v>
      </c>
      <c r="AQ29" t="str">
        <f t="shared" ref="AQ29" si="22">IF(BF29=1,"○","")</f>
        <v/>
      </c>
      <c r="AR29" s="1" t="s">
        <v>1024</v>
      </c>
      <c r="AS29" s="495">
        <f t="shared" si="12"/>
        <v>3</v>
      </c>
    </row>
    <row r="30" spans="2:45" ht="16.5" customHeight="1" thickBot="1">
      <c r="B30" s="743" t="s">
        <v>831</v>
      </c>
      <c r="C30" s="744"/>
      <c r="D30" s="745"/>
      <c r="E30" s="746"/>
      <c r="F30" s="747"/>
      <c r="G30" s="747"/>
      <c r="H30" s="747"/>
      <c r="I30" s="747"/>
      <c r="J30" s="748">
        <f>IFERROR(ROUNDDOWN(O30,1),0)</f>
        <v>3</v>
      </c>
      <c r="L30" s="1"/>
      <c r="M30" s="1">
        <f t="shared" ref="M30:M91" si="23">IF(V30&gt;0,0,1)</f>
        <v>1</v>
      </c>
      <c r="N30" s="1" t="str">
        <f t="shared" ref="N30:N91" si="24">IF(M30*L30=0,"-",M30*L30)</f>
        <v>-</v>
      </c>
      <c r="O30" s="544">
        <f>IFERROR(AVERAGE(N31:N68),"-")</f>
        <v>3</v>
      </c>
      <c r="P30" s="480"/>
      <c r="Q30" s="495"/>
      <c r="R30" s="495"/>
      <c r="S30" s="495"/>
      <c r="T30" s="495"/>
      <c r="U30" s="495"/>
      <c r="V30" s="495">
        <f t="shared" ref="V30:V70" si="25">SUMPRODUCT($Q$8:$U$8,Q30:U30)</f>
        <v>0</v>
      </c>
      <c r="AH30" s="558"/>
      <c r="AI30" s="558"/>
      <c r="AJ30" s="558"/>
      <c r="AK30" s="558"/>
      <c r="AL30" s="495" t="str">
        <f t="shared" si="7"/>
        <v>-</v>
      </c>
      <c r="AM30" s="495" t="str">
        <f t="shared" si="8"/>
        <v>-</v>
      </c>
      <c r="AN30" s="495" t="str">
        <f t="shared" si="9"/>
        <v>-</v>
      </c>
      <c r="AO30" s="495" t="str">
        <f t="shared" si="10"/>
        <v>-</v>
      </c>
      <c r="AR30" s="1"/>
      <c r="AS30" s="495" t="b">
        <f t="shared" si="12"/>
        <v>0</v>
      </c>
    </row>
    <row r="31" spans="2:45" ht="16.5" customHeight="1">
      <c r="B31" s="523">
        <v>1</v>
      </c>
      <c r="C31" s="518" t="s">
        <v>812</v>
      </c>
      <c r="D31" s="538"/>
      <c r="E31" s="733"/>
      <c r="F31" s="734"/>
      <c r="G31" s="734"/>
      <c r="H31" s="734"/>
      <c r="I31" s="735"/>
      <c r="J31" s="545">
        <f>IFERROR(ROUNDDOWN(O31,1),0)</f>
        <v>3</v>
      </c>
      <c r="L31" s="495"/>
      <c r="M31" s="1">
        <f t="shared" si="23"/>
        <v>1</v>
      </c>
      <c r="N31" s="1" t="str">
        <f t="shared" si="24"/>
        <v>-</v>
      </c>
      <c r="O31" s="544">
        <f>IFERROR(AVERAGE(N32:N34),"-")</f>
        <v>3</v>
      </c>
      <c r="P31" s="480"/>
      <c r="Q31" s="495"/>
      <c r="R31" s="495"/>
      <c r="S31" s="495"/>
      <c r="T31" s="495"/>
      <c r="U31" s="495"/>
      <c r="V31" s="495">
        <f t="shared" si="25"/>
        <v>0</v>
      </c>
      <c r="AH31" s="558"/>
      <c r="AI31" s="558"/>
      <c r="AJ31" s="558"/>
      <c r="AK31" s="558"/>
      <c r="AL31" s="495" t="str">
        <f t="shared" si="7"/>
        <v>-</v>
      </c>
      <c r="AM31" s="495" t="str">
        <f t="shared" si="8"/>
        <v>-</v>
      </c>
      <c r="AN31" s="495" t="str">
        <f t="shared" si="9"/>
        <v>-</v>
      </c>
      <c r="AO31" s="495" t="str">
        <f t="shared" si="10"/>
        <v>-</v>
      </c>
      <c r="AR31" s="1"/>
      <c r="AS31" s="495" t="b">
        <f t="shared" si="12"/>
        <v>0</v>
      </c>
    </row>
    <row r="32" spans="2:45" ht="16.5" customHeight="1">
      <c r="B32" s="526"/>
      <c r="C32" s="492" t="s">
        <v>832</v>
      </c>
      <c r="D32" s="541"/>
      <c r="E32" s="907"/>
      <c r="F32" s="908"/>
      <c r="G32" s="908"/>
      <c r="H32" s="908"/>
      <c r="I32" s="909"/>
      <c r="J32" s="496">
        <f>N32</f>
        <v>3</v>
      </c>
      <c r="L32" s="1">
        <f>採点Qw2!D8</f>
        <v>3</v>
      </c>
      <c r="M32" s="1">
        <f t="shared" ref="M32:M40" si="26">IF(V32&gt;0,0,1)</f>
        <v>1</v>
      </c>
      <c r="N32" s="1">
        <f t="shared" ref="N32:N40" si="27">IF(M32*L32=0,"-",M32*L32)</f>
        <v>3</v>
      </c>
      <c r="O32" s="544"/>
      <c r="P32" s="480"/>
      <c r="Q32" s="495"/>
      <c r="R32" s="495"/>
      <c r="S32" s="495"/>
      <c r="T32" s="495"/>
      <c r="U32" s="495"/>
      <c r="V32" s="495">
        <f t="shared" ref="V32:V68" si="28">SUMPRODUCT($Q$8:$U$8,Q32:U32)</f>
        <v>0</v>
      </c>
      <c r="AH32" s="495"/>
      <c r="AI32" s="495">
        <v>1</v>
      </c>
      <c r="AJ32" s="495"/>
      <c r="AK32" s="495">
        <v>1</v>
      </c>
      <c r="AL32" s="495" t="str">
        <f t="shared" si="7"/>
        <v>-</v>
      </c>
      <c r="AM32" s="495">
        <f t="shared" si="8"/>
        <v>3</v>
      </c>
      <c r="AN32" s="495" t="str">
        <f t="shared" si="9"/>
        <v>-</v>
      </c>
      <c r="AO32" s="495">
        <f t="shared" si="10"/>
        <v>3</v>
      </c>
      <c r="AQ32" t="str">
        <f t="shared" ref="AQ32:AQ34" si="29">IF(BF32=1,"○","")</f>
        <v/>
      </c>
      <c r="AR32" s="1" t="s">
        <v>1025</v>
      </c>
      <c r="AS32" s="495">
        <f t="shared" si="12"/>
        <v>3</v>
      </c>
    </row>
    <row r="33" spans="2:45" ht="16.5" customHeight="1">
      <c r="B33" s="528"/>
      <c r="C33" s="932" t="s">
        <v>833</v>
      </c>
      <c r="D33" s="646" t="s">
        <v>834</v>
      </c>
      <c r="E33" s="907"/>
      <c r="F33" s="908"/>
      <c r="G33" s="908"/>
      <c r="H33" s="908"/>
      <c r="I33" s="909"/>
      <c r="J33" s="696">
        <f>N33</f>
        <v>3</v>
      </c>
      <c r="L33" s="1">
        <f>採点Qw2!D29</f>
        <v>3</v>
      </c>
      <c r="M33" s="1">
        <f>IF(V33&gt;0,0,1)</f>
        <v>1</v>
      </c>
      <c r="N33" s="1">
        <f>IF(M33*L33=0,"-",M33*L33)</f>
        <v>3</v>
      </c>
      <c r="O33" s="544"/>
      <c r="P33" s="480"/>
      <c r="Q33" s="495"/>
      <c r="R33" s="495"/>
      <c r="S33" s="495"/>
      <c r="T33" s="495"/>
      <c r="U33" s="495"/>
      <c r="V33" s="495">
        <f t="shared" si="28"/>
        <v>0</v>
      </c>
      <c r="AH33" s="495"/>
      <c r="AI33" s="495">
        <v>1</v>
      </c>
      <c r="AJ33" s="495">
        <v>1</v>
      </c>
      <c r="AK33" s="495">
        <v>1</v>
      </c>
      <c r="AL33" s="495" t="str">
        <f t="shared" si="7"/>
        <v>-</v>
      </c>
      <c r="AM33" s="495">
        <f t="shared" si="8"/>
        <v>3</v>
      </c>
      <c r="AN33" s="495">
        <f t="shared" si="9"/>
        <v>3</v>
      </c>
      <c r="AO33" s="495">
        <f t="shared" si="10"/>
        <v>3</v>
      </c>
      <c r="AQ33" t="str">
        <f t="shared" si="29"/>
        <v/>
      </c>
      <c r="AR33" s="1" t="s">
        <v>1025</v>
      </c>
      <c r="AS33" s="495">
        <f t="shared" si="12"/>
        <v>3</v>
      </c>
    </row>
    <row r="34" spans="2:45" ht="16.5" customHeight="1">
      <c r="B34" s="522"/>
      <c r="C34" s="918"/>
      <c r="D34" s="646" t="s">
        <v>835</v>
      </c>
      <c r="E34" s="907"/>
      <c r="F34" s="908"/>
      <c r="G34" s="908"/>
      <c r="H34" s="908"/>
      <c r="I34" s="909"/>
      <c r="J34" s="696">
        <f>N34</f>
        <v>3</v>
      </c>
      <c r="L34" s="1">
        <f>採点Qw2!D47</f>
        <v>3</v>
      </c>
      <c r="M34" s="1">
        <f>IF(V34&gt;0,0,1)</f>
        <v>1</v>
      </c>
      <c r="N34" s="1">
        <f>IF(M34*L34=0,"-",M34*L34)</f>
        <v>3</v>
      </c>
      <c r="O34" s="544"/>
      <c r="P34" s="480"/>
      <c r="Q34" s="495"/>
      <c r="R34" s="495"/>
      <c r="S34" s="495"/>
      <c r="T34" s="495"/>
      <c r="U34" s="495"/>
      <c r="V34" s="495">
        <f t="shared" si="28"/>
        <v>0</v>
      </c>
      <c r="AH34" s="495"/>
      <c r="AI34" s="495"/>
      <c r="AJ34" s="495">
        <v>1</v>
      </c>
      <c r="AK34" s="495">
        <v>1</v>
      </c>
      <c r="AL34" s="495" t="str">
        <f t="shared" si="7"/>
        <v>-</v>
      </c>
      <c r="AM34" s="495" t="str">
        <f t="shared" si="8"/>
        <v>-</v>
      </c>
      <c r="AN34" s="495">
        <f t="shared" si="9"/>
        <v>3</v>
      </c>
      <c r="AO34" s="495">
        <f t="shared" si="10"/>
        <v>3</v>
      </c>
      <c r="AQ34" t="str">
        <f t="shared" si="29"/>
        <v/>
      </c>
      <c r="AR34" s="1" t="s">
        <v>1025</v>
      </c>
      <c r="AS34" s="495">
        <f t="shared" si="12"/>
        <v>3</v>
      </c>
    </row>
    <row r="35" spans="2:45" ht="16.5" customHeight="1">
      <c r="B35" s="525">
        <v>2</v>
      </c>
      <c r="C35" s="517" t="s">
        <v>378</v>
      </c>
      <c r="D35" s="542"/>
      <c r="E35" s="601"/>
      <c r="F35" s="602"/>
      <c r="G35" s="602"/>
      <c r="H35" s="602"/>
      <c r="I35" s="603"/>
      <c r="J35" s="546">
        <f>IFERROR(ROUNDDOWN(O35,1),0)</f>
        <v>3</v>
      </c>
      <c r="L35" s="1"/>
      <c r="M35" s="1">
        <f t="shared" si="26"/>
        <v>1</v>
      </c>
      <c r="N35" s="1" t="str">
        <f t="shared" si="27"/>
        <v>-</v>
      </c>
      <c r="O35" s="544">
        <f>IFERROR(AVERAGE(N36:N40),"-")</f>
        <v>3</v>
      </c>
      <c r="P35" s="480"/>
      <c r="Q35" s="495"/>
      <c r="R35" s="495"/>
      <c r="S35" s="495"/>
      <c r="T35" s="495"/>
      <c r="U35" s="495"/>
      <c r="V35" s="495">
        <f t="shared" si="28"/>
        <v>0</v>
      </c>
      <c r="AH35" s="558"/>
      <c r="AI35" s="558"/>
      <c r="AJ35" s="558"/>
      <c r="AK35" s="558"/>
      <c r="AL35" s="495" t="str">
        <f t="shared" si="7"/>
        <v>-</v>
      </c>
      <c r="AM35" s="495" t="str">
        <f t="shared" si="8"/>
        <v>-</v>
      </c>
      <c r="AN35" s="495" t="str">
        <f t="shared" si="9"/>
        <v>-</v>
      </c>
      <c r="AO35" s="495" t="str">
        <f t="shared" si="10"/>
        <v>-</v>
      </c>
      <c r="AR35" s="1"/>
      <c r="AS35" s="495" t="b">
        <f t="shared" si="12"/>
        <v>0</v>
      </c>
    </row>
    <row r="36" spans="2:45" ht="16.5" customHeight="1">
      <c r="B36" s="526"/>
      <c r="C36" s="910" t="s">
        <v>836</v>
      </c>
      <c r="D36" s="911"/>
      <c r="E36" s="907"/>
      <c r="F36" s="908"/>
      <c r="G36" s="908"/>
      <c r="H36" s="908"/>
      <c r="I36" s="909"/>
      <c r="J36" s="696">
        <f>N36</f>
        <v>3</v>
      </c>
      <c r="L36" s="1">
        <f>採点Qw2!D66</f>
        <v>3</v>
      </c>
      <c r="M36" s="1">
        <f t="shared" si="26"/>
        <v>1</v>
      </c>
      <c r="N36" s="1">
        <f t="shared" si="27"/>
        <v>3</v>
      </c>
      <c r="O36" s="544"/>
      <c r="P36" s="480"/>
      <c r="Q36" s="495"/>
      <c r="R36" s="495"/>
      <c r="S36" s="495"/>
      <c r="T36" s="495"/>
      <c r="U36" s="495"/>
      <c r="V36" s="495">
        <f t="shared" si="28"/>
        <v>0</v>
      </c>
      <c r="AH36" s="495"/>
      <c r="AI36" s="495">
        <v>1</v>
      </c>
      <c r="AJ36" s="495">
        <v>1</v>
      </c>
      <c r="AK36" s="495"/>
      <c r="AL36" s="495" t="str">
        <f t="shared" si="7"/>
        <v>-</v>
      </c>
      <c r="AM36" s="495">
        <f t="shared" si="8"/>
        <v>3</v>
      </c>
      <c r="AN36" s="495">
        <f t="shared" si="9"/>
        <v>3</v>
      </c>
      <c r="AO36" s="495" t="str">
        <f t="shared" si="10"/>
        <v>-</v>
      </c>
      <c r="AQ36" t="str">
        <f>IF(BF35=1,"○","")</f>
        <v/>
      </c>
      <c r="AR36" s="1" t="s">
        <v>1025</v>
      </c>
      <c r="AS36" s="495">
        <f t="shared" si="12"/>
        <v>3</v>
      </c>
    </row>
    <row r="37" spans="2:45" ht="16.149999999999999" customHeight="1">
      <c r="B37" s="526"/>
      <c r="C37" s="910" t="s">
        <v>837</v>
      </c>
      <c r="D37" s="911"/>
      <c r="E37" s="907"/>
      <c r="F37" s="908"/>
      <c r="G37" s="908"/>
      <c r="H37" s="908"/>
      <c r="I37" s="909"/>
      <c r="J37" s="699">
        <f>N37</f>
        <v>3</v>
      </c>
      <c r="L37" s="1">
        <f>採点Qw2!D75</f>
        <v>3</v>
      </c>
      <c r="M37" s="1">
        <f t="shared" si="26"/>
        <v>1</v>
      </c>
      <c r="N37" s="1">
        <f t="shared" si="27"/>
        <v>3</v>
      </c>
      <c r="O37" s="544"/>
      <c r="P37" s="480"/>
      <c r="Q37" s="495"/>
      <c r="R37" s="495"/>
      <c r="S37" s="495">
        <v>1</v>
      </c>
      <c r="T37" s="495"/>
      <c r="U37" s="495"/>
      <c r="V37" s="495">
        <f t="shared" si="28"/>
        <v>0</v>
      </c>
      <c r="AH37" s="495"/>
      <c r="AI37" s="495">
        <v>1</v>
      </c>
      <c r="AJ37" s="495">
        <v>1</v>
      </c>
      <c r="AK37" s="495"/>
      <c r="AL37" s="495" t="str">
        <f t="shared" si="7"/>
        <v>-</v>
      </c>
      <c r="AM37" s="495">
        <f t="shared" si="8"/>
        <v>3</v>
      </c>
      <c r="AN37" s="495">
        <f t="shared" si="9"/>
        <v>3</v>
      </c>
      <c r="AO37" s="495" t="str">
        <f t="shared" si="10"/>
        <v>-</v>
      </c>
      <c r="AQ37" t="str">
        <f>IF(BF36=1,"○","")</f>
        <v/>
      </c>
      <c r="AR37" s="1" t="s">
        <v>1025</v>
      </c>
      <c r="AS37" s="495">
        <f t="shared" si="12"/>
        <v>3</v>
      </c>
    </row>
    <row r="38" spans="2:45" ht="16.5" customHeight="1">
      <c r="B38" s="528"/>
      <c r="C38" s="910" t="s">
        <v>838</v>
      </c>
      <c r="D38" s="911"/>
      <c r="E38" s="907"/>
      <c r="F38" s="908"/>
      <c r="G38" s="908"/>
      <c r="H38" s="908"/>
      <c r="I38" s="909"/>
      <c r="J38" s="696">
        <f>N38</f>
        <v>3</v>
      </c>
      <c r="L38" s="1">
        <f>採点Qw2!D84</f>
        <v>3</v>
      </c>
      <c r="M38" s="1">
        <f t="shared" si="26"/>
        <v>1</v>
      </c>
      <c r="N38" s="1">
        <f t="shared" si="27"/>
        <v>3</v>
      </c>
      <c r="O38" s="544"/>
      <c r="P38" s="480"/>
      <c r="Q38" s="495"/>
      <c r="R38" s="495"/>
      <c r="S38" s="495"/>
      <c r="T38" s="495"/>
      <c r="U38" s="495"/>
      <c r="V38" s="495">
        <f t="shared" si="28"/>
        <v>0</v>
      </c>
      <c r="AH38" s="495"/>
      <c r="AI38" s="495">
        <v>1</v>
      </c>
      <c r="AJ38" s="495">
        <v>1</v>
      </c>
      <c r="AK38" s="495">
        <v>1</v>
      </c>
      <c r="AL38" s="495" t="str">
        <f t="shared" si="7"/>
        <v>-</v>
      </c>
      <c r="AM38" s="495">
        <f t="shared" si="8"/>
        <v>3</v>
      </c>
      <c r="AN38" s="495">
        <f t="shared" si="9"/>
        <v>3</v>
      </c>
      <c r="AO38" s="495">
        <f t="shared" si="10"/>
        <v>3</v>
      </c>
      <c r="AQ38" t="str">
        <f>IF(BF37=1,"○","")</f>
        <v/>
      </c>
      <c r="AR38" s="1" t="s">
        <v>1025</v>
      </c>
      <c r="AS38" s="495">
        <f t="shared" si="12"/>
        <v>3</v>
      </c>
    </row>
    <row r="39" spans="2:45" ht="16.5" customHeight="1">
      <c r="B39" s="528"/>
      <c r="C39" s="910" t="s">
        <v>839</v>
      </c>
      <c r="D39" s="911"/>
      <c r="E39" s="907"/>
      <c r="F39" s="908"/>
      <c r="G39" s="908"/>
      <c r="H39" s="908"/>
      <c r="I39" s="909"/>
      <c r="J39" s="696">
        <f>N39</f>
        <v>3</v>
      </c>
      <c r="L39" s="1">
        <f>採点Qw2!D103</f>
        <v>3</v>
      </c>
      <c r="M39" s="1">
        <f t="shared" si="26"/>
        <v>1</v>
      </c>
      <c r="N39" s="1">
        <f t="shared" si="27"/>
        <v>3</v>
      </c>
      <c r="O39" s="544"/>
      <c r="P39" s="480"/>
      <c r="Q39" s="495"/>
      <c r="R39" s="495"/>
      <c r="S39" s="495"/>
      <c r="T39" s="495"/>
      <c r="U39" s="495"/>
      <c r="V39" s="495">
        <f t="shared" si="28"/>
        <v>0</v>
      </c>
      <c r="AH39" s="495"/>
      <c r="AI39" s="495"/>
      <c r="AJ39" s="495">
        <v>1</v>
      </c>
      <c r="AK39" s="495"/>
      <c r="AL39" s="495" t="str">
        <f t="shared" si="7"/>
        <v>-</v>
      </c>
      <c r="AM39" s="495" t="str">
        <f t="shared" si="8"/>
        <v>-</v>
      </c>
      <c r="AN39" s="495">
        <f t="shared" si="9"/>
        <v>3</v>
      </c>
      <c r="AO39" s="495" t="str">
        <f t="shared" si="10"/>
        <v>-</v>
      </c>
      <c r="AQ39" t="str">
        <f>IF(BF38=1,"○","")</f>
        <v/>
      </c>
      <c r="AR39" s="1" t="s">
        <v>1025</v>
      </c>
      <c r="AS39" s="495">
        <f t="shared" si="12"/>
        <v>3</v>
      </c>
    </row>
    <row r="40" spans="2:45" ht="16.5" customHeight="1">
      <c r="B40" s="523"/>
      <c r="C40" s="910" t="s">
        <v>840</v>
      </c>
      <c r="D40" s="911"/>
      <c r="E40" s="907"/>
      <c r="F40" s="908"/>
      <c r="G40" s="908"/>
      <c r="H40" s="908"/>
      <c r="I40" s="909"/>
      <c r="J40" s="696">
        <f>N40</f>
        <v>3</v>
      </c>
      <c r="L40" s="1">
        <f>採点Qw2!D127</f>
        <v>3</v>
      </c>
      <c r="M40" s="1">
        <f t="shared" si="26"/>
        <v>1</v>
      </c>
      <c r="N40" s="1">
        <f t="shared" si="27"/>
        <v>3</v>
      </c>
      <c r="O40" s="544"/>
      <c r="P40" s="480"/>
      <c r="Q40" s="495"/>
      <c r="R40" s="495"/>
      <c r="S40" s="495"/>
      <c r="T40" s="495"/>
      <c r="U40" s="495"/>
      <c r="V40" s="495">
        <f t="shared" si="28"/>
        <v>0</v>
      </c>
      <c r="AH40" s="495"/>
      <c r="AI40" s="495">
        <v>1</v>
      </c>
      <c r="AJ40" s="495">
        <v>1</v>
      </c>
      <c r="AK40" s="495"/>
      <c r="AL40" s="495" t="str">
        <f t="shared" si="7"/>
        <v>-</v>
      </c>
      <c r="AM40" s="495">
        <f t="shared" si="8"/>
        <v>3</v>
      </c>
      <c r="AN40" s="495">
        <f t="shared" si="9"/>
        <v>3</v>
      </c>
      <c r="AO40" s="495" t="str">
        <f t="shared" si="10"/>
        <v>-</v>
      </c>
      <c r="AQ40" t="str">
        <f>IF(BF39=1,"○","")</f>
        <v/>
      </c>
      <c r="AR40" s="1" t="s">
        <v>1025</v>
      </c>
      <c r="AS40" s="495">
        <f t="shared" si="12"/>
        <v>3</v>
      </c>
    </row>
    <row r="41" spans="2:45" ht="16.5" customHeight="1">
      <c r="B41" s="525">
        <v>3</v>
      </c>
      <c r="C41" s="517" t="s">
        <v>379</v>
      </c>
      <c r="D41" s="536"/>
      <c r="E41" s="601"/>
      <c r="F41" s="602"/>
      <c r="G41" s="602"/>
      <c r="H41" s="602"/>
      <c r="I41" s="603"/>
      <c r="J41" s="546">
        <f>IFERROR(ROUNDDOWN(O41,1),0)</f>
        <v>3</v>
      </c>
      <c r="L41" s="1"/>
      <c r="M41" s="1">
        <f t="shared" ref="M41:M68" si="30">IF(V41&gt;0,0,1)</f>
        <v>1</v>
      </c>
      <c r="N41" s="1" t="str">
        <f t="shared" ref="N41:N68" si="31">IF(M41*L41=0,"-",M41*L41)</f>
        <v>-</v>
      </c>
      <c r="O41" s="544">
        <f>IFERROR(AVERAGE(N42:N43),"-")</f>
        <v>3</v>
      </c>
      <c r="P41" s="480"/>
      <c r="Q41" s="495"/>
      <c r="R41" s="495"/>
      <c r="S41" s="495"/>
      <c r="T41" s="495"/>
      <c r="U41" s="495"/>
      <c r="V41" s="495">
        <f t="shared" si="28"/>
        <v>0</v>
      </c>
      <c r="AH41" s="558"/>
      <c r="AI41" s="558"/>
      <c r="AJ41" s="558"/>
      <c r="AK41" s="558"/>
      <c r="AL41" s="495" t="str">
        <f t="shared" si="7"/>
        <v>-</v>
      </c>
      <c r="AM41" s="495" t="str">
        <f t="shared" si="8"/>
        <v>-</v>
      </c>
      <c r="AN41" s="495" t="str">
        <f t="shared" si="9"/>
        <v>-</v>
      </c>
      <c r="AO41" s="495" t="str">
        <f t="shared" si="10"/>
        <v>-</v>
      </c>
      <c r="AR41" s="1"/>
      <c r="AS41" s="495" t="b">
        <f t="shared" si="12"/>
        <v>0</v>
      </c>
    </row>
    <row r="42" spans="2:45" ht="16.5" customHeight="1">
      <c r="B42" s="522"/>
      <c r="C42" s="935" t="s">
        <v>841</v>
      </c>
      <c r="D42" s="936"/>
      <c r="E42" s="907"/>
      <c r="F42" s="908"/>
      <c r="G42" s="908"/>
      <c r="H42" s="908"/>
      <c r="I42" s="909"/>
      <c r="J42" s="696">
        <f>N42</f>
        <v>3</v>
      </c>
      <c r="L42" s="1">
        <f>採点Qw2!D138</f>
        <v>3</v>
      </c>
      <c r="M42" s="1">
        <f t="shared" si="30"/>
        <v>1</v>
      </c>
      <c r="N42" s="1">
        <f t="shared" si="31"/>
        <v>3</v>
      </c>
      <c r="O42" s="544"/>
      <c r="P42" s="480"/>
      <c r="Q42" s="495"/>
      <c r="R42" s="495"/>
      <c r="S42" s="495"/>
      <c r="T42" s="495"/>
      <c r="U42" s="495"/>
      <c r="V42" s="495">
        <f t="shared" si="28"/>
        <v>0</v>
      </c>
      <c r="AH42" s="495">
        <v>1</v>
      </c>
      <c r="AI42" s="495"/>
      <c r="AJ42" s="495"/>
      <c r="AK42" s="495"/>
      <c r="AL42" s="495">
        <f t="shared" si="7"/>
        <v>3</v>
      </c>
      <c r="AM42" s="495" t="str">
        <f t="shared" si="8"/>
        <v>-</v>
      </c>
      <c r="AN42" s="495" t="str">
        <f t="shared" si="9"/>
        <v>-</v>
      </c>
      <c r="AO42" s="495" t="str">
        <f t="shared" si="10"/>
        <v>-</v>
      </c>
      <c r="AQ42" t="str">
        <f>IF(BF40=1,"○","")</f>
        <v/>
      </c>
      <c r="AR42" s="1" t="s">
        <v>1025</v>
      </c>
      <c r="AS42" s="495">
        <f t="shared" si="12"/>
        <v>3</v>
      </c>
    </row>
    <row r="43" spans="2:45" ht="16.5" customHeight="1">
      <c r="B43" s="737"/>
      <c r="C43" s="935" t="s">
        <v>842</v>
      </c>
      <c r="D43" s="936"/>
      <c r="E43" s="919"/>
      <c r="F43" s="920"/>
      <c r="G43" s="920"/>
      <c r="H43" s="920"/>
      <c r="I43" s="921"/>
      <c r="J43" s="696">
        <f>N43</f>
        <v>3</v>
      </c>
      <c r="L43" s="1">
        <f>採点Qw2!D147</f>
        <v>3</v>
      </c>
      <c r="M43" s="1">
        <f t="shared" si="30"/>
        <v>1</v>
      </c>
      <c r="N43" s="1">
        <f t="shared" si="31"/>
        <v>3</v>
      </c>
      <c r="O43" s="544"/>
      <c r="P43" s="480"/>
      <c r="Q43" s="495"/>
      <c r="R43" s="495"/>
      <c r="S43" s="495"/>
      <c r="T43" s="495"/>
      <c r="U43" s="495"/>
      <c r="V43" s="495">
        <f t="shared" si="28"/>
        <v>0</v>
      </c>
      <c r="AH43" s="495">
        <v>1</v>
      </c>
      <c r="AI43" s="495"/>
      <c r="AJ43" s="495"/>
      <c r="AK43" s="495"/>
      <c r="AL43" s="495">
        <f t="shared" si="7"/>
        <v>3</v>
      </c>
      <c r="AM43" s="495" t="str">
        <f t="shared" si="8"/>
        <v>-</v>
      </c>
      <c r="AN43" s="495" t="str">
        <f t="shared" si="9"/>
        <v>-</v>
      </c>
      <c r="AO43" s="495" t="str">
        <f t="shared" si="10"/>
        <v>-</v>
      </c>
      <c r="AQ43" t="str">
        <f>IF(BF41=1,"○","")</f>
        <v/>
      </c>
      <c r="AR43" s="1" t="s">
        <v>1025</v>
      </c>
      <c r="AS43" s="495">
        <f t="shared" si="12"/>
        <v>3</v>
      </c>
    </row>
    <row r="44" spans="2:45" ht="16.5" customHeight="1">
      <c r="B44" s="523">
        <v>4</v>
      </c>
      <c r="C44" s="518" t="s">
        <v>171</v>
      </c>
      <c r="D44" s="647"/>
      <c r="E44" s="733"/>
      <c r="F44" s="734"/>
      <c r="G44" s="734"/>
      <c r="H44" s="734"/>
      <c r="I44" s="735"/>
      <c r="J44" s="545">
        <f>IFERROR(ROUNDDOWN(O44,1),0)</f>
        <v>3</v>
      </c>
      <c r="L44" s="1"/>
      <c r="M44" s="1">
        <f t="shared" si="30"/>
        <v>1</v>
      </c>
      <c r="N44" s="1" t="str">
        <f t="shared" si="31"/>
        <v>-</v>
      </c>
      <c r="O44" s="544">
        <f>IFERROR(AVERAGE(N45:N46),"-")</f>
        <v>3</v>
      </c>
      <c r="P44" s="480"/>
      <c r="Q44" s="495"/>
      <c r="R44" s="495"/>
      <c r="S44" s="495"/>
      <c r="T44" s="495"/>
      <c r="U44" s="495"/>
      <c r="V44" s="495">
        <f t="shared" si="28"/>
        <v>0</v>
      </c>
      <c r="AH44" s="558"/>
      <c r="AI44" s="558"/>
      <c r="AJ44" s="558"/>
      <c r="AK44" s="558"/>
      <c r="AL44" s="495" t="str">
        <f t="shared" si="7"/>
        <v>-</v>
      </c>
      <c r="AM44" s="495" t="str">
        <f t="shared" si="8"/>
        <v>-</v>
      </c>
      <c r="AN44" s="495" t="str">
        <f t="shared" si="9"/>
        <v>-</v>
      </c>
      <c r="AO44" s="495" t="str">
        <f t="shared" si="10"/>
        <v>-</v>
      </c>
      <c r="AR44" s="1"/>
      <c r="AS44" s="495" t="b">
        <f t="shared" si="12"/>
        <v>0</v>
      </c>
    </row>
    <row r="45" spans="2:45" ht="16.5" customHeight="1">
      <c r="B45" s="522"/>
      <c r="C45" s="492" t="s">
        <v>843</v>
      </c>
      <c r="D45" s="541"/>
      <c r="E45" s="907"/>
      <c r="F45" s="908"/>
      <c r="G45" s="908"/>
      <c r="H45" s="908"/>
      <c r="I45" s="909"/>
      <c r="J45" s="696">
        <f>N45</f>
        <v>3</v>
      </c>
      <c r="L45" s="1">
        <f>採点Qw2!D157</f>
        <v>3</v>
      </c>
      <c r="M45" s="1">
        <f t="shared" si="30"/>
        <v>1</v>
      </c>
      <c r="N45" s="1">
        <f t="shared" si="31"/>
        <v>3</v>
      </c>
      <c r="O45" s="544"/>
      <c r="P45" s="480"/>
      <c r="Q45" s="495"/>
      <c r="R45" s="495"/>
      <c r="S45" s="495"/>
      <c r="T45" s="495"/>
      <c r="U45" s="495"/>
      <c r="V45" s="495">
        <f t="shared" si="28"/>
        <v>0</v>
      </c>
      <c r="AH45" s="495">
        <v>1</v>
      </c>
      <c r="AI45" s="495"/>
      <c r="AJ45" s="495"/>
      <c r="AK45" s="495"/>
      <c r="AL45" s="495">
        <f t="shared" si="7"/>
        <v>3</v>
      </c>
      <c r="AM45" s="495" t="str">
        <f t="shared" si="8"/>
        <v>-</v>
      </c>
      <c r="AN45" s="495" t="str">
        <f t="shared" si="9"/>
        <v>-</v>
      </c>
      <c r="AO45" s="495" t="str">
        <f t="shared" si="10"/>
        <v>-</v>
      </c>
      <c r="AQ45" t="str">
        <f>IF(BF42=1,"○","")</f>
        <v/>
      </c>
      <c r="AR45" s="1" t="s">
        <v>1025</v>
      </c>
      <c r="AS45" s="495">
        <f t="shared" si="12"/>
        <v>3</v>
      </c>
    </row>
    <row r="46" spans="2:45" ht="16.5" customHeight="1">
      <c r="B46" s="524"/>
      <c r="C46" s="492" t="s">
        <v>844</v>
      </c>
      <c r="D46" s="541"/>
      <c r="E46" s="907"/>
      <c r="F46" s="908"/>
      <c r="G46" s="908"/>
      <c r="H46" s="908"/>
      <c r="I46" s="909"/>
      <c r="J46" s="696">
        <f>N46</f>
        <v>3</v>
      </c>
      <c r="L46" s="1">
        <f>採点Qw2!D166</f>
        <v>3</v>
      </c>
      <c r="M46" s="1">
        <f t="shared" si="30"/>
        <v>1</v>
      </c>
      <c r="N46" s="1">
        <f t="shared" si="31"/>
        <v>3</v>
      </c>
      <c r="O46" s="544"/>
      <c r="P46" s="480"/>
      <c r="Q46" s="495"/>
      <c r="R46" s="495"/>
      <c r="S46" s="495"/>
      <c r="T46" s="495"/>
      <c r="U46" s="495"/>
      <c r="V46" s="495">
        <f t="shared" si="28"/>
        <v>0</v>
      </c>
      <c r="AH46" s="495">
        <v>1</v>
      </c>
      <c r="AI46" s="495"/>
      <c r="AJ46" s="495"/>
      <c r="AK46" s="495"/>
      <c r="AL46" s="495">
        <f t="shared" si="7"/>
        <v>3</v>
      </c>
      <c r="AM46" s="495" t="str">
        <f t="shared" si="8"/>
        <v>-</v>
      </c>
      <c r="AN46" s="495" t="str">
        <f t="shared" si="9"/>
        <v>-</v>
      </c>
      <c r="AO46" s="495" t="str">
        <f t="shared" si="10"/>
        <v>-</v>
      </c>
      <c r="AQ46" t="str">
        <f>IF(BF43=1,"○","")</f>
        <v/>
      </c>
      <c r="AR46" s="1" t="s">
        <v>1025</v>
      </c>
      <c r="AS46" s="495">
        <f t="shared" si="12"/>
        <v>3</v>
      </c>
    </row>
    <row r="47" spans="2:45" ht="16.5" customHeight="1">
      <c r="B47" s="525">
        <v>5</v>
      </c>
      <c r="C47" s="517" t="s">
        <v>145</v>
      </c>
      <c r="D47" s="648"/>
      <c r="E47" s="601"/>
      <c r="F47" s="602"/>
      <c r="G47" s="602"/>
      <c r="H47" s="602"/>
      <c r="I47" s="603"/>
      <c r="J47" s="546">
        <f>IFERROR(ROUNDDOWN(O47,1),0)</f>
        <v>3</v>
      </c>
      <c r="L47" s="1"/>
      <c r="M47" s="1">
        <f t="shared" si="30"/>
        <v>1</v>
      </c>
      <c r="N47" s="1" t="str">
        <f t="shared" si="31"/>
        <v>-</v>
      </c>
      <c r="O47" s="544">
        <f>IFERROR(AVERAGE(N48:N51),"-")</f>
        <v>3</v>
      </c>
      <c r="P47" s="480"/>
      <c r="Q47" s="495"/>
      <c r="R47" s="495"/>
      <c r="S47" s="495"/>
      <c r="T47" s="495"/>
      <c r="U47" s="495"/>
      <c r="V47" s="495">
        <f t="shared" si="28"/>
        <v>0</v>
      </c>
      <c r="AH47" s="558"/>
      <c r="AI47" s="558"/>
      <c r="AJ47" s="558"/>
      <c r="AK47" s="558"/>
      <c r="AL47" s="495" t="str">
        <f t="shared" si="7"/>
        <v>-</v>
      </c>
      <c r="AM47" s="495" t="str">
        <f t="shared" si="8"/>
        <v>-</v>
      </c>
      <c r="AN47" s="495" t="str">
        <f t="shared" si="9"/>
        <v>-</v>
      </c>
      <c r="AO47" s="495" t="str">
        <f t="shared" si="10"/>
        <v>-</v>
      </c>
      <c r="AR47" s="1"/>
      <c r="AS47" s="495" t="b">
        <f t="shared" si="12"/>
        <v>0</v>
      </c>
    </row>
    <row r="48" spans="2:45" ht="16.5" customHeight="1">
      <c r="B48" s="526"/>
      <c r="C48" s="492" t="s">
        <v>845</v>
      </c>
      <c r="D48" s="541"/>
      <c r="E48" s="907"/>
      <c r="F48" s="908"/>
      <c r="G48" s="908"/>
      <c r="H48" s="908"/>
      <c r="I48" s="909"/>
      <c r="J48" s="696">
        <f>N48</f>
        <v>3</v>
      </c>
      <c r="L48" s="1">
        <f>採点Qw2!D177</f>
        <v>3</v>
      </c>
      <c r="M48" s="1">
        <f t="shared" si="30"/>
        <v>1</v>
      </c>
      <c r="N48" s="1">
        <f t="shared" si="31"/>
        <v>3</v>
      </c>
      <c r="O48" s="544"/>
      <c r="P48" s="480"/>
      <c r="Q48" s="495"/>
      <c r="R48" s="495"/>
      <c r="S48" s="495"/>
      <c r="T48" s="495"/>
      <c r="U48" s="495"/>
      <c r="V48" s="495">
        <f t="shared" si="28"/>
        <v>0</v>
      </c>
      <c r="AH48" s="495"/>
      <c r="AI48" s="495">
        <v>1</v>
      </c>
      <c r="AJ48" s="495"/>
      <c r="AK48" s="495"/>
      <c r="AL48" s="495" t="str">
        <f t="shared" si="7"/>
        <v>-</v>
      </c>
      <c r="AM48" s="495">
        <f t="shared" si="8"/>
        <v>3</v>
      </c>
      <c r="AN48" s="495" t="str">
        <f t="shared" si="9"/>
        <v>-</v>
      </c>
      <c r="AO48" s="495" t="str">
        <f t="shared" si="10"/>
        <v>-</v>
      </c>
      <c r="AQ48" t="str">
        <f>IF(BF44=1,"○","")</f>
        <v/>
      </c>
      <c r="AR48" s="1" t="s">
        <v>1025</v>
      </c>
      <c r="AS48" s="495">
        <f t="shared" si="12"/>
        <v>3</v>
      </c>
    </row>
    <row r="49" spans="2:45" ht="16.5" customHeight="1">
      <c r="B49" s="526"/>
      <c r="C49" s="917" t="s">
        <v>846</v>
      </c>
      <c r="D49" s="549" t="s">
        <v>848</v>
      </c>
      <c r="E49" s="907"/>
      <c r="F49" s="908"/>
      <c r="G49" s="908"/>
      <c r="H49" s="908"/>
      <c r="I49" s="909"/>
      <c r="J49" s="696">
        <f>N49</f>
        <v>3</v>
      </c>
      <c r="L49" s="1">
        <f>採点Qw2!D187</f>
        <v>3</v>
      </c>
      <c r="M49" s="1">
        <f t="shared" si="30"/>
        <v>1</v>
      </c>
      <c r="N49" s="1">
        <f t="shared" si="31"/>
        <v>3</v>
      </c>
      <c r="O49" s="544"/>
      <c r="P49" s="480"/>
      <c r="Q49" s="495"/>
      <c r="R49" s="495"/>
      <c r="S49" s="495"/>
      <c r="T49" s="495"/>
      <c r="U49" s="495"/>
      <c r="V49" s="495">
        <f t="shared" si="28"/>
        <v>0</v>
      </c>
      <c r="AH49" s="495">
        <v>1</v>
      </c>
      <c r="AI49" s="495"/>
      <c r="AJ49" s="495"/>
      <c r="AK49" s="495"/>
      <c r="AL49" s="495">
        <f t="shared" si="7"/>
        <v>3</v>
      </c>
      <c r="AM49" s="495" t="str">
        <f t="shared" si="8"/>
        <v>-</v>
      </c>
      <c r="AN49" s="495" t="str">
        <f t="shared" si="9"/>
        <v>-</v>
      </c>
      <c r="AO49" s="495" t="str">
        <f t="shared" si="10"/>
        <v>-</v>
      </c>
      <c r="AQ49" t="str">
        <f>IF(BF45=1,"○","")</f>
        <v/>
      </c>
      <c r="AR49" s="1" t="s">
        <v>1025</v>
      </c>
      <c r="AS49" s="495">
        <f t="shared" si="12"/>
        <v>3</v>
      </c>
    </row>
    <row r="50" spans="2:45" ht="16.5" customHeight="1">
      <c r="B50" s="526"/>
      <c r="C50" s="918"/>
      <c r="D50" s="649" t="s">
        <v>849</v>
      </c>
      <c r="E50" s="907"/>
      <c r="F50" s="908"/>
      <c r="G50" s="908"/>
      <c r="H50" s="908"/>
      <c r="I50" s="909"/>
      <c r="J50" s="696">
        <f>N50</f>
        <v>3</v>
      </c>
      <c r="L50" s="1">
        <f>採点Qw2!D196</f>
        <v>3</v>
      </c>
      <c r="M50" s="1">
        <f t="shared" si="30"/>
        <v>1</v>
      </c>
      <c r="N50" s="1">
        <f t="shared" si="31"/>
        <v>3</v>
      </c>
      <c r="O50" s="544"/>
      <c r="P50" s="480"/>
      <c r="Q50" s="495"/>
      <c r="R50" s="495"/>
      <c r="S50" s="495"/>
      <c r="T50" s="495"/>
      <c r="U50" s="495"/>
      <c r="V50" s="495">
        <f t="shared" si="28"/>
        <v>0</v>
      </c>
      <c r="AH50" s="495">
        <v>1</v>
      </c>
      <c r="AI50" s="495"/>
      <c r="AJ50" s="495"/>
      <c r="AK50" s="495"/>
      <c r="AL50" s="495">
        <f t="shared" si="7"/>
        <v>3</v>
      </c>
      <c r="AM50" s="495" t="str">
        <f t="shared" si="8"/>
        <v>-</v>
      </c>
      <c r="AN50" s="495" t="str">
        <f t="shared" si="9"/>
        <v>-</v>
      </c>
      <c r="AO50" s="495" t="str">
        <f t="shared" si="10"/>
        <v>-</v>
      </c>
      <c r="AQ50" t="str">
        <f>IF(BF46=1,"○","")</f>
        <v/>
      </c>
      <c r="AR50" s="1" t="s">
        <v>1025</v>
      </c>
      <c r="AS50" s="495">
        <f t="shared" si="12"/>
        <v>3</v>
      </c>
    </row>
    <row r="51" spans="2:45" ht="16.5" customHeight="1">
      <c r="B51" s="527"/>
      <c r="C51" s="492" t="s">
        <v>847</v>
      </c>
      <c r="D51" s="541"/>
      <c r="E51" s="907"/>
      <c r="F51" s="908"/>
      <c r="G51" s="908"/>
      <c r="H51" s="908"/>
      <c r="I51" s="909"/>
      <c r="J51" s="696">
        <f>N51</f>
        <v>3</v>
      </c>
      <c r="L51" s="1">
        <f>採点Qw2!D205</f>
        <v>3</v>
      </c>
      <c r="M51" s="1">
        <f t="shared" si="30"/>
        <v>1</v>
      </c>
      <c r="N51" s="1">
        <f t="shared" si="31"/>
        <v>3</v>
      </c>
      <c r="O51" s="544"/>
      <c r="P51" s="480"/>
      <c r="Q51" s="495"/>
      <c r="R51" s="495"/>
      <c r="S51" s="495"/>
      <c r="T51" s="495"/>
      <c r="U51" s="495"/>
      <c r="V51" s="495">
        <f t="shared" si="28"/>
        <v>0</v>
      </c>
      <c r="AH51" s="495">
        <v>1</v>
      </c>
      <c r="AI51" s="495"/>
      <c r="AJ51" s="495"/>
      <c r="AK51" s="495"/>
      <c r="AL51" s="495">
        <f t="shared" si="7"/>
        <v>3</v>
      </c>
      <c r="AM51" s="495" t="str">
        <f t="shared" si="8"/>
        <v>-</v>
      </c>
      <c r="AN51" s="495" t="str">
        <f t="shared" si="9"/>
        <v>-</v>
      </c>
      <c r="AO51" s="495" t="str">
        <f t="shared" si="10"/>
        <v>-</v>
      </c>
      <c r="AQ51" t="str">
        <f>IF(BF47=1,"○","")</f>
        <v/>
      </c>
      <c r="AR51" s="1" t="s">
        <v>1025</v>
      </c>
      <c r="AS51" s="495">
        <f t="shared" si="12"/>
        <v>3</v>
      </c>
    </row>
    <row r="52" spans="2:45" ht="16.5" customHeight="1">
      <c r="B52" s="525">
        <v>6</v>
      </c>
      <c r="C52" s="517" t="s">
        <v>377</v>
      </c>
      <c r="D52" s="647"/>
      <c r="E52" s="601"/>
      <c r="F52" s="602"/>
      <c r="G52" s="602"/>
      <c r="H52" s="602"/>
      <c r="I52" s="603"/>
      <c r="J52" s="546">
        <f>IFERROR(ROUNDDOWN(O52,1),0)</f>
        <v>3</v>
      </c>
      <c r="L52" s="1"/>
      <c r="M52" s="1">
        <f t="shared" si="30"/>
        <v>1</v>
      </c>
      <c r="N52" s="1" t="str">
        <f t="shared" si="31"/>
        <v>-</v>
      </c>
      <c r="O52" s="544">
        <f>IFERROR(AVERAGE(N53:N59),"-")</f>
        <v>3</v>
      </c>
      <c r="P52" s="480"/>
      <c r="Q52" s="495"/>
      <c r="R52" s="495"/>
      <c r="S52" s="495"/>
      <c r="T52" s="495"/>
      <c r="U52" s="495"/>
      <c r="V52" s="495">
        <f t="shared" si="28"/>
        <v>0</v>
      </c>
      <c r="AH52" s="558"/>
      <c r="AI52" s="558"/>
      <c r="AJ52" s="558"/>
      <c r="AK52" s="558"/>
      <c r="AL52" s="495" t="str">
        <f t="shared" si="7"/>
        <v>-</v>
      </c>
      <c r="AM52" s="495" t="str">
        <f t="shared" si="8"/>
        <v>-</v>
      </c>
      <c r="AN52" s="495" t="str">
        <f t="shared" si="9"/>
        <v>-</v>
      </c>
      <c r="AO52" s="495" t="str">
        <f t="shared" si="10"/>
        <v>-</v>
      </c>
      <c r="AR52" s="1"/>
      <c r="AS52" s="495" t="b">
        <f t="shared" si="12"/>
        <v>0</v>
      </c>
    </row>
    <row r="53" spans="2:45" ht="16.5" customHeight="1">
      <c r="B53" s="526"/>
      <c r="C53" s="492" t="s">
        <v>1007</v>
      </c>
      <c r="D53" s="541"/>
      <c r="E53" s="907"/>
      <c r="F53" s="908"/>
      <c r="G53" s="908"/>
      <c r="H53" s="908"/>
      <c r="I53" s="909"/>
      <c r="J53" s="696">
        <f t="shared" ref="J53:J59" si="32">N53</f>
        <v>3</v>
      </c>
      <c r="L53" s="1">
        <f>採点Qw2!D215</f>
        <v>3</v>
      </c>
      <c r="M53" s="1">
        <f t="shared" si="30"/>
        <v>1</v>
      </c>
      <c r="N53" s="1">
        <f t="shared" si="31"/>
        <v>3</v>
      </c>
      <c r="O53" s="544"/>
      <c r="P53" s="480"/>
      <c r="Q53" s="495"/>
      <c r="R53" s="495"/>
      <c r="S53" s="495"/>
      <c r="T53" s="495"/>
      <c r="U53" s="495"/>
      <c r="V53" s="495">
        <f t="shared" si="28"/>
        <v>0</v>
      </c>
      <c r="AH53" s="495">
        <v>1</v>
      </c>
      <c r="AI53" s="495"/>
      <c r="AJ53" s="495"/>
      <c r="AK53" s="495"/>
      <c r="AL53" s="495">
        <f t="shared" si="7"/>
        <v>3</v>
      </c>
      <c r="AM53" s="495" t="str">
        <f t="shared" si="8"/>
        <v>-</v>
      </c>
      <c r="AN53" s="495" t="str">
        <f t="shared" si="9"/>
        <v>-</v>
      </c>
      <c r="AO53" s="495" t="str">
        <f t="shared" si="10"/>
        <v>-</v>
      </c>
      <c r="AQ53" t="str">
        <f t="shared" ref="AQ53:AQ59" si="33">IF(BF48=1,"○","")</f>
        <v/>
      </c>
      <c r="AR53" s="1" t="s">
        <v>1025</v>
      </c>
      <c r="AS53" s="495">
        <f t="shared" si="12"/>
        <v>3</v>
      </c>
    </row>
    <row r="54" spans="2:45" ht="16.5" customHeight="1">
      <c r="B54" s="526"/>
      <c r="C54" s="917" t="s">
        <v>850</v>
      </c>
      <c r="D54" s="645" t="s">
        <v>854</v>
      </c>
      <c r="E54" s="907"/>
      <c r="F54" s="908"/>
      <c r="G54" s="908"/>
      <c r="H54" s="908"/>
      <c r="I54" s="909"/>
      <c r="J54" s="696">
        <f t="shared" si="32"/>
        <v>3</v>
      </c>
      <c r="L54" s="1">
        <f>採点Qw2!D235</f>
        <v>3</v>
      </c>
      <c r="M54" s="1">
        <f t="shared" si="30"/>
        <v>1</v>
      </c>
      <c r="N54" s="1">
        <f t="shared" si="31"/>
        <v>3</v>
      </c>
      <c r="O54" s="544"/>
      <c r="P54" s="480"/>
      <c r="Q54" s="495"/>
      <c r="R54" s="495"/>
      <c r="S54" s="495"/>
      <c r="T54" s="495"/>
      <c r="U54" s="495"/>
      <c r="V54" s="495">
        <f t="shared" si="28"/>
        <v>0</v>
      </c>
      <c r="AH54" s="495">
        <v>1</v>
      </c>
      <c r="AI54" s="495"/>
      <c r="AJ54" s="495"/>
      <c r="AK54" s="495"/>
      <c r="AL54" s="495">
        <f t="shared" si="7"/>
        <v>3</v>
      </c>
      <c r="AM54" s="495" t="str">
        <f t="shared" si="8"/>
        <v>-</v>
      </c>
      <c r="AN54" s="495" t="str">
        <f t="shared" si="9"/>
        <v>-</v>
      </c>
      <c r="AO54" s="495" t="str">
        <f t="shared" si="10"/>
        <v>-</v>
      </c>
      <c r="AQ54" t="str">
        <f t="shared" si="33"/>
        <v/>
      </c>
      <c r="AR54" s="1" t="s">
        <v>1025</v>
      </c>
      <c r="AS54" s="495">
        <f t="shared" si="12"/>
        <v>3</v>
      </c>
    </row>
    <row r="55" spans="2:45" ht="16.5" customHeight="1">
      <c r="B55" s="526"/>
      <c r="C55" s="918"/>
      <c r="D55" s="645" t="s">
        <v>855</v>
      </c>
      <c r="E55" s="907"/>
      <c r="F55" s="908"/>
      <c r="G55" s="908"/>
      <c r="H55" s="908"/>
      <c r="I55" s="909"/>
      <c r="J55" s="696">
        <f t="shared" si="32"/>
        <v>3</v>
      </c>
      <c r="L55" s="1">
        <f>採点Qw2!D244</f>
        <v>3</v>
      </c>
      <c r="M55" s="1">
        <f t="shared" si="30"/>
        <v>1</v>
      </c>
      <c r="N55" s="1">
        <f t="shared" si="31"/>
        <v>3</v>
      </c>
      <c r="O55" s="544"/>
      <c r="P55" s="480"/>
      <c r="Q55" s="495"/>
      <c r="R55" s="495"/>
      <c r="S55" s="495"/>
      <c r="T55" s="495"/>
      <c r="U55" s="495"/>
      <c r="V55" s="495">
        <f t="shared" si="28"/>
        <v>0</v>
      </c>
      <c r="AH55" s="495">
        <v>1</v>
      </c>
      <c r="AI55" s="495"/>
      <c r="AJ55" s="495"/>
      <c r="AK55" s="495"/>
      <c r="AL55" s="495">
        <f t="shared" si="7"/>
        <v>3</v>
      </c>
      <c r="AM55" s="495" t="str">
        <f t="shared" si="8"/>
        <v>-</v>
      </c>
      <c r="AN55" s="495" t="str">
        <f t="shared" si="9"/>
        <v>-</v>
      </c>
      <c r="AO55" s="495" t="str">
        <f t="shared" si="10"/>
        <v>-</v>
      </c>
      <c r="AQ55" t="str">
        <f t="shared" si="33"/>
        <v/>
      </c>
      <c r="AR55" s="1" t="s">
        <v>1025</v>
      </c>
      <c r="AS55" s="495">
        <f t="shared" si="12"/>
        <v>3</v>
      </c>
    </row>
    <row r="56" spans="2:45" ht="16.5" customHeight="1">
      <c r="B56" s="526"/>
      <c r="C56" s="910" t="s">
        <v>851</v>
      </c>
      <c r="D56" s="911"/>
      <c r="E56" s="907"/>
      <c r="F56" s="908"/>
      <c r="G56" s="908"/>
      <c r="H56" s="908"/>
      <c r="I56" s="909"/>
      <c r="J56" s="696">
        <f t="shared" si="32"/>
        <v>3</v>
      </c>
      <c r="L56" s="1">
        <f>採点Qw2!D253</f>
        <v>3</v>
      </c>
      <c r="M56" s="1">
        <f t="shared" si="30"/>
        <v>1</v>
      </c>
      <c r="N56" s="1">
        <f t="shared" si="31"/>
        <v>3</v>
      </c>
      <c r="O56" s="544"/>
      <c r="P56" s="480"/>
      <c r="Q56" s="495"/>
      <c r="R56" s="495"/>
      <c r="S56" s="495"/>
      <c r="T56" s="495"/>
      <c r="U56" s="495"/>
      <c r="V56" s="495">
        <f t="shared" si="28"/>
        <v>0</v>
      </c>
      <c r="AH56" s="495">
        <v>1</v>
      </c>
      <c r="AI56" s="495"/>
      <c r="AJ56" s="495"/>
      <c r="AK56" s="495"/>
      <c r="AL56" s="495">
        <f t="shared" si="7"/>
        <v>3</v>
      </c>
      <c r="AM56" s="495" t="str">
        <f t="shared" si="8"/>
        <v>-</v>
      </c>
      <c r="AN56" s="495" t="str">
        <f t="shared" si="9"/>
        <v>-</v>
      </c>
      <c r="AO56" s="495" t="str">
        <f t="shared" si="10"/>
        <v>-</v>
      </c>
      <c r="AQ56" t="str">
        <f t="shared" si="33"/>
        <v/>
      </c>
      <c r="AR56" s="1" t="s">
        <v>1025</v>
      </c>
      <c r="AS56" s="495">
        <f t="shared" si="12"/>
        <v>3</v>
      </c>
    </row>
    <row r="57" spans="2:45" ht="16.5" customHeight="1">
      <c r="B57" s="526"/>
      <c r="C57" s="917" t="s">
        <v>852</v>
      </c>
      <c r="D57" s="540" t="s">
        <v>856</v>
      </c>
      <c r="E57" s="907"/>
      <c r="F57" s="908"/>
      <c r="G57" s="908"/>
      <c r="H57" s="908"/>
      <c r="I57" s="909"/>
      <c r="J57" s="696">
        <f t="shared" si="32"/>
        <v>3</v>
      </c>
      <c r="L57" s="1">
        <f>採点Qw2!D263</f>
        <v>3</v>
      </c>
      <c r="M57" s="1">
        <f t="shared" si="30"/>
        <v>1</v>
      </c>
      <c r="N57" s="1">
        <f t="shared" si="31"/>
        <v>3</v>
      </c>
      <c r="O57" s="544"/>
      <c r="P57" s="480"/>
      <c r="Q57" s="495"/>
      <c r="R57" s="495"/>
      <c r="S57" s="495"/>
      <c r="T57" s="495"/>
      <c r="U57" s="495"/>
      <c r="V57" s="495">
        <f t="shared" si="28"/>
        <v>0</v>
      </c>
      <c r="AH57" s="495">
        <v>1</v>
      </c>
      <c r="AI57" s="495"/>
      <c r="AJ57" s="495"/>
      <c r="AK57" s="495"/>
      <c r="AL57" s="495">
        <f t="shared" si="7"/>
        <v>3</v>
      </c>
      <c r="AM57" s="495" t="str">
        <f t="shared" si="8"/>
        <v>-</v>
      </c>
      <c r="AN57" s="495" t="str">
        <f t="shared" si="9"/>
        <v>-</v>
      </c>
      <c r="AO57" s="495" t="str">
        <f t="shared" si="10"/>
        <v>-</v>
      </c>
      <c r="AQ57" t="str">
        <f t="shared" si="33"/>
        <v/>
      </c>
      <c r="AR57" s="1" t="s">
        <v>1025</v>
      </c>
      <c r="AS57" s="495">
        <f t="shared" si="12"/>
        <v>3</v>
      </c>
    </row>
    <row r="58" spans="2:45" ht="16.5" customHeight="1">
      <c r="B58" s="526"/>
      <c r="C58" s="918"/>
      <c r="D58" s="540" t="s">
        <v>857</v>
      </c>
      <c r="E58" s="907"/>
      <c r="F58" s="908"/>
      <c r="G58" s="908"/>
      <c r="H58" s="908"/>
      <c r="I58" s="909"/>
      <c r="J58" s="697">
        <f t="shared" si="32"/>
        <v>3</v>
      </c>
      <c r="L58" s="1">
        <f>採点Qw2!D279</f>
        <v>3</v>
      </c>
      <c r="M58" s="1">
        <f t="shared" si="30"/>
        <v>1</v>
      </c>
      <c r="N58" s="1">
        <f t="shared" si="31"/>
        <v>3</v>
      </c>
      <c r="O58" s="544"/>
      <c r="P58" s="480"/>
      <c r="Q58" s="495"/>
      <c r="R58" s="495"/>
      <c r="S58" s="495"/>
      <c r="T58" s="495"/>
      <c r="U58" s="495"/>
      <c r="V58" s="495">
        <f t="shared" si="28"/>
        <v>0</v>
      </c>
      <c r="AH58" s="495">
        <v>1</v>
      </c>
      <c r="AI58" s="495"/>
      <c r="AJ58" s="495"/>
      <c r="AK58" s="495"/>
      <c r="AL58" s="495">
        <f t="shared" si="7"/>
        <v>3</v>
      </c>
      <c r="AM58" s="495" t="str">
        <f t="shared" si="8"/>
        <v>-</v>
      </c>
      <c r="AN58" s="495" t="str">
        <f t="shared" si="9"/>
        <v>-</v>
      </c>
      <c r="AO58" s="495" t="str">
        <f t="shared" si="10"/>
        <v>-</v>
      </c>
      <c r="AQ58" t="str">
        <f t="shared" si="33"/>
        <v/>
      </c>
      <c r="AR58" s="1" t="s">
        <v>1025</v>
      </c>
      <c r="AS58" s="495">
        <f t="shared" si="12"/>
        <v>3</v>
      </c>
    </row>
    <row r="59" spans="2:45" ht="16.5" customHeight="1">
      <c r="B59" s="531"/>
      <c r="C59" s="910" t="s">
        <v>853</v>
      </c>
      <c r="D59" s="911"/>
      <c r="E59" s="919"/>
      <c r="F59" s="920"/>
      <c r="G59" s="920"/>
      <c r="H59" s="920"/>
      <c r="I59" s="921"/>
      <c r="J59" s="696">
        <f t="shared" si="32"/>
        <v>3</v>
      </c>
      <c r="L59" s="1">
        <f>採点Qw2!D288</f>
        <v>3</v>
      </c>
      <c r="M59" s="1">
        <f t="shared" si="30"/>
        <v>1</v>
      </c>
      <c r="N59" s="1">
        <f t="shared" si="31"/>
        <v>3</v>
      </c>
      <c r="O59" s="544"/>
      <c r="P59" s="480"/>
      <c r="Q59" s="495"/>
      <c r="R59" s="495"/>
      <c r="S59" s="495"/>
      <c r="T59" s="495"/>
      <c r="U59" s="495"/>
      <c r="V59" s="495">
        <f t="shared" si="28"/>
        <v>0</v>
      </c>
      <c r="AH59" s="495"/>
      <c r="AI59" s="495">
        <v>1</v>
      </c>
      <c r="AJ59" s="495"/>
      <c r="AK59" s="495">
        <v>1</v>
      </c>
      <c r="AL59" s="495" t="str">
        <f t="shared" si="7"/>
        <v>-</v>
      </c>
      <c r="AM59" s="495">
        <f t="shared" si="8"/>
        <v>3</v>
      </c>
      <c r="AN59" s="495" t="str">
        <f t="shared" si="9"/>
        <v>-</v>
      </c>
      <c r="AO59" s="495">
        <f t="shared" si="10"/>
        <v>3</v>
      </c>
      <c r="AQ59" t="str">
        <f t="shared" si="33"/>
        <v/>
      </c>
      <c r="AR59" s="1" t="s">
        <v>1025</v>
      </c>
      <c r="AS59" s="495">
        <f t="shared" si="12"/>
        <v>3</v>
      </c>
    </row>
    <row r="60" spans="2:45" ht="16.5" customHeight="1">
      <c r="B60" s="523">
        <v>7</v>
      </c>
      <c r="C60" s="518" t="s">
        <v>345</v>
      </c>
      <c r="D60" s="535"/>
      <c r="E60" s="733"/>
      <c r="F60" s="734"/>
      <c r="G60" s="734"/>
      <c r="H60" s="734"/>
      <c r="I60" s="735"/>
      <c r="J60" s="545">
        <f>IFERROR(ROUNDDOWN(O60,1),0)</f>
        <v>3</v>
      </c>
      <c r="L60" s="495"/>
      <c r="M60" s="1">
        <f t="shared" si="30"/>
        <v>1</v>
      </c>
      <c r="N60" s="1" t="str">
        <f t="shared" si="31"/>
        <v>-</v>
      </c>
      <c r="O60" s="544">
        <f>IFERROR(AVERAGE(N61:N66),"-")</f>
        <v>3</v>
      </c>
      <c r="P60" s="480"/>
      <c r="Q60" s="495"/>
      <c r="R60" s="495"/>
      <c r="S60" s="495"/>
      <c r="T60" s="495"/>
      <c r="U60" s="495"/>
      <c r="V60" s="495">
        <f t="shared" si="28"/>
        <v>0</v>
      </c>
      <c r="AH60" s="558"/>
      <c r="AI60" s="558"/>
      <c r="AJ60" s="558"/>
      <c r="AK60" s="558"/>
      <c r="AL60" s="495" t="str">
        <f t="shared" si="7"/>
        <v>-</v>
      </c>
      <c r="AM60" s="495" t="str">
        <f t="shared" si="8"/>
        <v>-</v>
      </c>
      <c r="AN60" s="495" t="str">
        <f t="shared" si="9"/>
        <v>-</v>
      </c>
      <c r="AO60" s="495" t="str">
        <f t="shared" si="10"/>
        <v>-</v>
      </c>
      <c r="AR60" s="1"/>
      <c r="AS60" s="495" t="b">
        <f t="shared" si="12"/>
        <v>0</v>
      </c>
    </row>
    <row r="61" spans="2:45" ht="16.5" customHeight="1">
      <c r="B61" s="523"/>
      <c r="C61" s="910" t="s">
        <v>858</v>
      </c>
      <c r="D61" s="911"/>
      <c r="E61" s="907"/>
      <c r="F61" s="908"/>
      <c r="G61" s="908"/>
      <c r="H61" s="908"/>
      <c r="I61" s="909"/>
      <c r="J61" s="696">
        <f t="shared" ref="J61:J66" si="34">N61</f>
        <v>3</v>
      </c>
      <c r="L61" s="1">
        <f>採点Qw2!D298</f>
        <v>3</v>
      </c>
      <c r="M61" s="1">
        <f t="shared" si="30"/>
        <v>1</v>
      </c>
      <c r="N61" s="1">
        <f t="shared" si="31"/>
        <v>3</v>
      </c>
      <c r="O61" s="544"/>
      <c r="P61" s="480"/>
      <c r="Q61" s="495"/>
      <c r="R61" s="495"/>
      <c r="S61" s="495"/>
      <c r="T61" s="495"/>
      <c r="U61" s="495"/>
      <c r="V61" s="495">
        <f t="shared" si="28"/>
        <v>0</v>
      </c>
      <c r="AH61" s="495"/>
      <c r="AI61" s="495"/>
      <c r="AJ61" s="495"/>
      <c r="AK61" s="495"/>
      <c r="AL61" s="495" t="str">
        <f t="shared" si="7"/>
        <v>-</v>
      </c>
      <c r="AM61" s="495" t="str">
        <f t="shared" si="8"/>
        <v>-</v>
      </c>
      <c r="AN61" s="495" t="str">
        <f t="shared" si="9"/>
        <v>-</v>
      </c>
      <c r="AO61" s="495" t="str">
        <f t="shared" si="10"/>
        <v>-</v>
      </c>
      <c r="AQ61" t="str">
        <f t="shared" ref="AQ61:AQ66" si="35">IF(BF55=1,"○","")</f>
        <v/>
      </c>
      <c r="AR61" s="1" t="s">
        <v>1028</v>
      </c>
      <c r="AS61" s="495" t="b">
        <f t="shared" si="12"/>
        <v>0</v>
      </c>
    </row>
    <row r="62" spans="2:45" ht="16.5" customHeight="1">
      <c r="B62" s="523"/>
      <c r="C62" s="910" t="s">
        <v>859</v>
      </c>
      <c r="D62" s="911"/>
      <c r="E62" s="907"/>
      <c r="F62" s="908"/>
      <c r="G62" s="908"/>
      <c r="H62" s="908"/>
      <c r="I62" s="909"/>
      <c r="J62" s="696">
        <f t="shared" si="34"/>
        <v>3</v>
      </c>
      <c r="L62" s="1">
        <f>採点Qw2!D321</f>
        <v>3</v>
      </c>
      <c r="M62" s="1">
        <f t="shared" si="30"/>
        <v>1</v>
      </c>
      <c r="N62" s="1">
        <f t="shared" si="31"/>
        <v>3</v>
      </c>
      <c r="O62" s="544"/>
      <c r="P62" s="480"/>
      <c r="Q62" s="495"/>
      <c r="R62" s="495"/>
      <c r="S62" s="495"/>
      <c r="T62" s="495"/>
      <c r="U62" s="495"/>
      <c r="V62" s="495">
        <f t="shared" si="28"/>
        <v>0</v>
      </c>
      <c r="AH62" s="495"/>
      <c r="AI62" s="495"/>
      <c r="AJ62" s="495"/>
      <c r="AK62" s="495"/>
      <c r="AL62" s="495" t="str">
        <f t="shared" si="7"/>
        <v>-</v>
      </c>
      <c r="AM62" s="495" t="str">
        <f t="shared" si="8"/>
        <v>-</v>
      </c>
      <c r="AN62" s="495" t="str">
        <f t="shared" si="9"/>
        <v>-</v>
      </c>
      <c r="AO62" s="495" t="str">
        <f t="shared" si="10"/>
        <v>-</v>
      </c>
      <c r="AQ62" t="str">
        <f t="shared" si="35"/>
        <v/>
      </c>
      <c r="AR62" s="1" t="s">
        <v>1028</v>
      </c>
      <c r="AS62" s="495" t="b">
        <f t="shared" si="12"/>
        <v>0</v>
      </c>
    </row>
    <row r="63" spans="2:45" ht="16.5" customHeight="1">
      <c r="B63" s="523"/>
      <c r="C63" s="910" t="s">
        <v>860</v>
      </c>
      <c r="D63" s="911"/>
      <c r="E63" s="907"/>
      <c r="F63" s="908"/>
      <c r="G63" s="908"/>
      <c r="H63" s="908"/>
      <c r="I63" s="909"/>
      <c r="J63" s="696">
        <f t="shared" si="34"/>
        <v>3</v>
      </c>
      <c r="L63" s="1">
        <f>採点Qw2!D341</f>
        <v>3</v>
      </c>
      <c r="M63" s="1">
        <f t="shared" si="30"/>
        <v>1</v>
      </c>
      <c r="N63" s="1">
        <f t="shared" si="31"/>
        <v>3</v>
      </c>
      <c r="O63" s="544"/>
      <c r="P63" s="480"/>
      <c r="Q63" s="495"/>
      <c r="R63" s="495"/>
      <c r="S63" s="495"/>
      <c r="T63" s="495"/>
      <c r="U63" s="495"/>
      <c r="V63" s="495">
        <f t="shared" si="28"/>
        <v>0</v>
      </c>
      <c r="AH63" s="495"/>
      <c r="AI63" s="495"/>
      <c r="AJ63" s="495"/>
      <c r="AK63" s="495"/>
      <c r="AL63" s="495" t="str">
        <f t="shared" si="7"/>
        <v>-</v>
      </c>
      <c r="AM63" s="495" t="str">
        <f t="shared" si="8"/>
        <v>-</v>
      </c>
      <c r="AN63" s="495" t="str">
        <f t="shared" si="9"/>
        <v>-</v>
      </c>
      <c r="AO63" s="495" t="str">
        <f t="shared" si="10"/>
        <v>-</v>
      </c>
      <c r="AQ63" t="str">
        <f t="shared" si="35"/>
        <v/>
      </c>
      <c r="AR63" s="1" t="s">
        <v>1028</v>
      </c>
      <c r="AS63" s="495" t="b">
        <f t="shared" si="12"/>
        <v>0</v>
      </c>
    </row>
    <row r="64" spans="2:45" ht="16.5" customHeight="1">
      <c r="B64" s="523"/>
      <c r="C64" s="917" t="s">
        <v>861</v>
      </c>
      <c r="D64" s="539" t="s">
        <v>863</v>
      </c>
      <c r="E64" s="907"/>
      <c r="F64" s="908"/>
      <c r="G64" s="908"/>
      <c r="H64" s="908"/>
      <c r="I64" s="909"/>
      <c r="J64" s="696">
        <f t="shared" si="34"/>
        <v>3</v>
      </c>
      <c r="L64" s="1">
        <f>採点Qw2!D351</f>
        <v>3</v>
      </c>
      <c r="M64" s="1">
        <f t="shared" si="30"/>
        <v>1</v>
      </c>
      <c r="N64" s="1">
        <f t="shared" si="31"/>
        <v>3</v>
      </c>
      <c r="O64" s="544"/>
      <c r="P64" s="480"/>
      <c r="Q64" s="495">
        <v>1</v>
      </c>
      <c r="R64" s="495"/>
      <c r="S64" s="495"/>
      <c r="T64" s="495"/>
      <c r="U64" s="495"/>
      <c r="V64" s="495">
        <f t="shared" si="28"/>
        <v>0</v>
      </c>
      <c r="AH64" s="495"/>
      <c r="AI64" s="495"/>
      <c r="AJ64" s="495"/>
      <c r="AK64" s="495"/>
      <c r="AL64" s="495" t="str">
        <f t="shared" si="7"/>
        <v>-</v>
      </c>
      <c r="AM64" s="495" t="str">
        <f t="shared" si="8"/>
        <v>-</v>
      </c>
      <c r="AN64" s="495" t="str">
        <f t="shared" si="9"/>
        <v>-</v>
      </c>
      <c r="AO64" s="495" t="str">
        <f t="shared" si="10"/>
        <v>-</v>
      </c>
      <c r="AQ64" t="str">
        <f t="shared" si="35"/>
        <v/>
      </c>
      <c r="AR64" s="1" t="s">
        <v>1028</v>
      </c>
      <c r="AS64" s="495" t="b">
        <f t="shared" si="12"/>
        <v>0</v>
      </c>
    </row>
    <row r="65" spans="2:45" ht="16.5" customHeight="1">
      <c r="B65" s="523"/>
      <c r="C65" s="918"/>
      <c r="D65" s="539" t="s">
        <v>864</v>
      </c>
      <c r="E65" s="907"/>
      <c r="F65" s="908"/>
      <c r="G65" s="908"/>
      <c r="H65" s="908"/>
      <c r="I65" s="909"/>
      <c r="J65" s="696">
        <f t="shared" si="34"/>
        <v>3</v>
      </c>
      <c r="L65" s="1">
        <f>採点Qw2!D360</f>
        <v>3</v>
      </c>
      <c r="M65" s="1">
        <f t="shared" si="30"/>
        <v>1</v>
      </c>
      <c r="N65" s="1">
        <f t="shared" si="31"/>
        <v>3</v>
      </c>
      <c r="O65" s="544"/>
      <c r="P65" s="480"/>
      <c r="Q65" s="495">
        <v>1</v>
      </c>
      <c r="R65" s="495"/>
      <c r="S65" s="495"/>
      <c r="T65" s="495"/>
      <c r="U65" s="495"/>
      <c r="V65" s="495">
        <f t="shared" si="28"/>
        <v>0</v>
      </c>
      <c r="AH65" s="495"/>
      <c r="AI65" s="495"/>
      <c r="AJ65" s="495"/>
      <c r="AK65" s="495"/>
      <c r="AL65" s="495" t="str">
        <f t="shared" si="7"/>
        <v>-</v>
      </c>
      <c r="AM65" s="495" t="str">
        <f t="shared" si="8"/>
        <v>-</v>
      </c>
      <c r="AN65" s="495" t="str">
        <f t="shared" si="9"/>
        <v>-</v>
      </c>
      <c r="AO65" s="495" t="str">
        <f t="shared" si="10"/>
        <v>-</v>
      </c>
      <c r="AQ65" t="str">
        <f t="shared" si="35"/>
        <v/>
      </c>
      <c r="AR65" s="1" t="s">
        <v>1028</v>
      </c>
      <c r="AS65" s="495" t="b">
        <f t="shared" si="12"/>
        <v>0</v>
      </c>
    </row>
    <row r="66" spans="2:45" ht="16.5" customHeight="1">
      <c r="B66" s="523"/>
      <c r="C66" s="910" t="s">
        <v>862</v>
      </c>
      <c r="D66" s="911"/>
      <c r="E66" s="907"/>
      <c r="F66" s="908"/>
      <c r="G66" s="908"/>
      <c r="H66" s="908"/>
      <c r="I66" s="909"/>
      <c r="J66" s="696">
        <f t="shared" si="34"/>
        <v>3</v>
      </c>
      <c r="L66" s="1">
        <f>採点Qw2!D377</f>
        <v>3</v>
      </c>
      <c r="M66" s="1">
        <f t="shared" si="30"/>
        <v>1</v>
      </c>
      <c r="N66" s="1">
        <f t="shared" si="31"/>
        <v>3</v>
      </c>
      <c r="O66" s="544"/>
      <c r="P66" s="480"/>
      <c r="Q66" s="495"/>
      <c r="R66" s="495"/>
      <c r="S66" s="495"/>
      <c r="T66" s="495"/>
      <c r="U66" s="495"/>
      <c r="V66" s="495">
        <f t="shared" si="28"/>
        <v>0</v>
      </c>
      <c r="AH66" s="495"/>
      <c r="AI66" s="495"/>
      <c r="AJ66" s="495"/>
      <c r="AK66" s="495"/>
      <c r="AL66" s="495" t="str">
        <f t="shared" si="7"/>
        <v>-</v>
      </c>
      <c r="AM66" s="495" t="str">
        <f t="shared" si="8"/>
        <v>-</v>
      </c>
      <c r="AN66" s="495" t="str">
        <f t="shared" si="9"/>
        <v>-</v>
      </c>
      <c r="AO66" s="495" t="str">
        <f t="shared" si="10"/>
        <v>-</v>
      </c>
      <c r="AQ66" t="str">
        <f t="shared" si="35"/>
        <v/>
      </c>
      <c r="AR66" s="1" t="s">
        <v>1028</v>
      </c>
      <c r="AS66" s="495" t="b">
        <f t="shared" si="12"/>
        <v>0</v>
      </c>
    </row>
    <row r="67" spans="2:45" ht="16.5" customHeight="1">
      <c r="B67" s="532">
        <v>8</v>
      </c>
      <c r="C67" s="516" t="s">
        <v>344</v>
      </c>
      <c r="D67" s="521"/>
      <c r="E67" s="601"/>
      <c r="F67" s="602"/>
      <c r="G67" s="602"/>
      <c r="H67" s="602"/>
      <c r="I67" s="603"/>
      <c r="J67" s="546">
        <f>IFERROR(ROUNDDOWN(O67,1),0)</f>
        <v>3</v>
      </c>
      <c r="L67" s="1"/>
      <c r="M67" s="1">
        <f t="shared" si="30"/>
        <v>1</v>
      </c>
      <c r="N67" s="1" t="str">
        <f t="shared" si="31"/>
        <v>-</v>
      </c>
      <c r="O67" s="544">
        <f>IFERROR(AVERAGE(N68),"-")</f>
        <v>3</v>
      </c>
      <c r="P67" s="480"/>
      <c r="Q67" s="495"/>
      <c r="R67" s="495"/>
      <c r="S67" s="495"/>
      <c r="T67" s="495"/>
      <c r="U67" s="495"/>
      <c r="V67" s="495">
        <f t="shared" si="28"/>
        <v>0</v>
      </c>
      <c r="AH67" s="558"/>
      <c r="AI67" s="558"/>
      <c r="AJ67" s="558"/>
      <c r="AK67" s="558"/>
      <c r="AL67" s="495" t="str">
        <f t="shared" si="7"/>
        <v>-</v>
      </c>
      <c r="AM67" s="495" t="str">
        <f t="shared" si="8"/>
        <v>-</v>
      </c>
      <c r="AN67" s="495" t="str">
        <f t="shared" si="9"/>
        <v>-</v>
      </c>
      <c r="AO67" s="495" t="str">
        <f t="shared" si="10"/>
        <v>-</v>
      </c>
      <c r="AR67" s="1"/>
      <c r="AS67" s="495" t="b">
        <f t="shared" si="12"/>
        <v>0</v>
      </c>
    </row>
    <row r="68" spans="2:45" ht="16.5" customHeight="1" thickBot="1">
      <c r="B68" s="742"/>
      <c r="C68" s="928" t="s">
        <v>865</v>
      </c>
      <c r="D68" s="929"/>
      <c r="E68" s="907"/>
      <c r="F68" s="908"/>
      <c r="G68" s="908"/>
      <c r="H68" s="908"/>
      <c r="I68" s="909"/>
      <c r="J68" s="697">
        <f>N68</f>
        <v>3</v>
      </c>
      <c r="L68" s="1">
        <f>採点Qw2!D387</f>
        <v>3</v>
      </c>
      <c r="M68" s="1">
        <f t="shared" si="30"/>
        <v>1</v>
      </c>
      <c r="N68" s="1">
        <f t="shared" si="31"/>
        <v>3</v>
      </c>
      <c r="O68" s="544"/>
      <c r="P68" s="480"/>
      <c r="Q68" s="495"/>
      <c r="R68" s="495"/>
      <c r="S68" s="495"/>
      <c r="T68" s="495"/>
      <c r="U68" s="495"/>
      <c r="V68" s="495">
        <f t="shared" si="28"/>
        <v>0</v>
      </c>
      <c r="AH68" s="495"/>
      <c r="AI68" s="495"/>
      <c r="AJ68" s="495">
        <v>1</v>
      </c>
      <c r="AK68" s="495"/>
      <c r="AL68" s="495" t="str">
        <f t="shared" si="7"/>
        <v>-</v>
      </c>
      <c r="AM68" s="495" t="str">
        <f t="shared" si="8"/>
        <v>-</v>
      </c>
      <c r="AN68" s="495">
        <f t="shared" si="9"/>
        <v>3</v>
      </c>
      <c r="AO68" s="495" t="str">
        <f t="shared" si="10"/>
        <v>-</v>
      </c>
      <c r="AQ68" t="str">
        <f>IF(BF61=1,"○","")</f>
        <v/>
      </c>
      <c r="AR68" s="1" t="s">
        <v>1028</v>
      </c>
      <c r="AS68" s="495" t="b">
        <f t="shared" si="12"/>
        <v>0</v>
      </c>
    </row>
    <row r="69" spans="2:45" ht="16.5" customHeight="1" thickBot="1">
      <c r="B69" s="743" t="s">
        <v>967</v>
      </c>
      <c r="C69" s="744"/>
      <c r="D69" s="745"/>
      <c r="E69" s="746"/>
      <c r="F69" s="747"/>
      <c r="G69" s="747"/>
      <c r="H69" s="747"/>
      <c r="I69" s="747"/>
      <c r="J69" s="748">
        <f>IFERROR(ROUNDDOWN(O69,1),0)</f>
        <v>3</v>
      </c>
      <c r="L69" s="1"/>
      <c r="M69" s="1">
        <f t="shared" si="23"/>
        <v>1</v>
      </c>
      <c r="N69" s="1" t="str">
        <f t="shared" si="24"/>
        <v>-</v>
      </c>
      <c r="O69" s="544">
        <f>IFERROR(AVERAGE(N70:N90),"-")</f>
        <v>3</v>
      </c>
      <c r="P69" s="480"/>
      <c r="Q69" s="495"/>
      <c r="R69" s="495"/>
      <c r="S69" s="495"/>
      <c r="T69" s="495"/>
      <c r="U69" s="495"/>
      <c r="V69" s="495">
        <f t="shared" si="25"/>
        <v>0</v>
      </c>
      <c r="AH69" s="558"/>
      <c r="AI69" s="558"/>
      <c r="AJ69" s="558"/>
      <c r="AK69" s="558"/>
      <c r="AL69" s="495" t="str">
        <f t="shared" si="7"/>
        <v>-</v>
      </c>
      <c r="AM69" s="495" t="str">
        <f t="shared" si="8"/>
        <v>-</v>
      </c>
      <c r="AN69" s="495" t="str">
        <f t="shared" si="9"/>
        <v>-</v>
      </c>
      <c r="AO69" s="495" t="str">
        <f t="shared" si="10"/>
        <v>-</v>
      </c>
      <c r="AR69" s="1"/>
      <c r="AS69" s="495" t="b">
        <f t="shared" si="12"/>
        <v>0</v>
      </c>
    </row>
    <row r="70" spans="2:45" ht="16.5" customHeight="1">
      <c r="B70" s="523">
        <v>1</v>
      </c>
      <c r="C70" s="732" t="s">
        <v>375</v>
      </c>
      <c r="D70" s="535"/>
      <c r="E70" s="733"/>
      <c r="F70" s="734"/>
      <c r="G70" s="734"/>
      <c r="H70" s="734"/>
      <c r="I70" s="735"/>
      <c r="J70" s="545">
        <f>IFERROR(ROUNDDOWN(O70,1),0)</f>
        <v>3</v>
      </c>
      <c r="L70" s="495"/>
      <c r="M70" s="1">
        <f t="shared" si="23"/>
        <v>1</v>
      </c>
      <c r="N70" s="1" t="str">
        <f t="shared" si="24"/>
        <v>-</v>
      </c>
      <c r="O70" s="544">
        <f>IFERROR(AVERAGE(N71:N75),"-")</f>
        <v>3</v>
      </c>
      <c r="P70" s="480"/>
      <c r="Q70" s="495"/>
      <c r="R70" s="495"/>
      <c r="S70" s="495"/>
      <c r="T70" s="495"/>
      <c r="U70" s="495"/>
      <c r="V70" s="495">
        <f t="shared" si="25"/>
        <v>0</v>
      </c>
      <c r="AH70" s="558"/>
      <c r="AI70" s="558"/>
      <c r="AJ70" s="558"/>
      <c r="AK70" s="558"/>
      <c r="AL70" s="495" t="str">
        <f t="shared" si="7"/>
        <v>-</v>
      </c>
      <c r="AM70" s="495" t="str">
        <f t="shared" si="8"/>
        <v>-</v>
      </c>
      <c r="AN70" s="495" t="str">
        <f t="shared" si="9"/>
        <v>-</v>
      </c>
      <c r="AO70" s="495" t="str">
        <f t="shared" si="10"/>
        <v>-</v>
      </c>
      <c r="AR70" s="1"/>
      <c r="AS70" s="495" t="b">
        <f t="shared" si="12"/>
        <v>0</v>
      </c>
    </row>
    <row r="71" spans="2:45" ht="16.5" customHeight="1">
      <c r="B71" s="522"/>
      <c r="C71" s="925" t="s">
        <v>411</v>
      </c>
      <c r="D71" s="570" t="s">
        <v>323</v>
      </c>
      <c r="E71" s="907"/>
      <c r="F71" s="908"/>
      <c r="G71" s="908"/>
      <c r="H71" s="908"/>
      <c r="I71" s="909"/>
      <c r="J71" s="696">
        <f t="shared" ref="J71:J79" si="36">N71</f>
        <v>3</v>
      </c>
      <c r="L71" s="1">
        <f>採点Qw3!D9</f>
        <v>3</v>
      </c>
      <c r="M71" s="1">
        <f t="shared" ref="M71:M90" si="37">IF(V71&gt;0,0,1)</f>
        <v>1</v>
      </c>
      <c r="N71" s="1">
        <f t="shared" ref="N71:N90" si="38">IF(M71*L71=0,"-",M71*L71)</f>
        <v>3</v>
      </c>
      <c r="O71" s="544"/>
      <c r="P71" s="480"/>
      <c r="Q71" s="495"/>
      <c r="R71" s="495"/>
      <c r="S71" s="495"/>
      <c r="T71" s="495"/>
      <c r="U71" s="495"/>
      <c r="V71" s="495">
        <f t="shared" ref="V71:V90" si="39">SUMPRODUCT($Q$8:$U$8,Q71:U71)</f>
        <v>0</v>
      </c>
      <c r="AH71" s="495"/>
      <c r="AI71" s="495">
        <v>1</v>
      </c>
      <c r="AJ71" s="495">
        <v>1</v>
      </c>
      <c r="AK71" s="495"/>
      <c r="AL71" s="495" t="str">
        <f t="shared" si="7"/>
        <v>-</v>
      </c>
      <c r="AM71" s="495">
        <f t="shared" si="8"/>
        <v>3</v>
      </c>
      <c r="AN71" s="495">
        <f t="shared" si="9"/>
        <v>3</v>
      </c>
      <c r="AO71" s="495" t="str">
        <f t="shared" si="10"/>
        <v>-</v>
      </c>
      <c r="AQ71" t="str">
        <f>IF(BF62=1,"○","")</f>
        <v/>
      </c>
      <c r="AR71" s="1" t="s">
        <v>1025</v>
      </c>
      <c r="AS71" s="495">
        <f t="shared" si="12"/>
        <v>3</v>
      </c>
    </row>
    <row r="72" spans="2:45" ht="16.5" customHeight="1">
      <c r="B72" s="522"/>
      <c r="C72" s="926"/>
      <c r="D72" s="570" t="s">
        <v>322</v>
      </c>
      <c r="E72" s="907"/>
      <c r="F72" s="908"/>
      <c r="G72" s="908"/>
      <c r="H72" s="908"/>
      <c r="I72" s="909"/>
      <c r="J72" s="696">
        <f t="shared" si="36"/>
        <v>3</v>
      </c>
      <c r="L72" s="1">
        <f>採点Qw3!D18</f>
        <v>3</v>
      </c>
      <c r="M72" s="1">
        <f t="shared" si="37"/>
        <v>1</v>
      </c>
      <c r="N72" s="1">
        <f t="shared" si="38"/>
        <v>3</v>
      </c>
      <c r="O72" s="544"/>
      <c r="P72" s="480"/>
      <c r="Q72" s="495"/>
      <c r="R72" s="495"/>
      <c r="S72" s="495"/>
      <c r="T72" s="495"/>
      <c r="U72" s="495"/>
      <c r="V72" s="495">
        <f t="shared" si="39"/>
        <v>0</v>
      </c>
      <c r="AH72" s="495"/>
      <c r="AI72" s="495">
        <v>1</v>
      </c>
      <c r="AJ72" s="495">
        <v>1</v>
      </c>
      <c r="AK72" s="495"/>
      <c r="AL72" s="495" t="str">
        <f t="shared" si="7"/>
        <v>-</v>
      </c>
      <c r="AM72" s="495">
        <f t="shared" si="8"/>
        <v>3</v>
      </c>
      <c r="AN72" s="495">
        <f t="shared" si="9"/>
        <v>3</v>
      </c>
      <c r="AO72" s="495" t="str">
        <f t="shared" si="10"/>
        <v>-</v>
      </c>
      <c r="AQ72" t="str">
        <f>IF(BF63=1,"○","")</f>
        <v/>
      </c>
      <c r="AR72" s="1" t="s">
        <v>1025</v>
      </c>
      <c r="AS72" s="495">
        <f t="shared" si="12"/>
        <v>3</v>
      </c>
    </row>
    <row r="73" spans="2:45" ht="16.5" customHeight="1">
      <c r="B73" s="522"/>
      <c r="C73" s="927"/>
      <c r="D73" s="571" t="s">
        <v>376</v>
      </c>
      <c r="E73" s="907"/>
      <c r="F73" s="908"/>
      <c r="G73" s="908"/>
      <c r="H73" s="908"/>
      <c r="I73" s="909"/>
      <c r="J73" s="696">
        <f t="shared" si="36"/>
        <v>3</v>
      </c>
      <c r="L73" s="1">
        <f>採点Qw3!D27</f>
        <v>3</v>
      </c>
      <c r="M73" s="1">
        <f t="shared" si="37"/>
        <v>1</v>
      </c>
      <c r="N73" s="1">
        <f t="shared" si="38"/>
        <v>3</v>
      </c>
      <c r="O73" s="544"/>
      <c r="P73" s="480"/>
      <c r="Q73" s="495"/>
      <c r="R73" s="495"/>
      <c r="S73" s="495"/>
      <c r="T73" s="495"/>
      <c r="U73" s="495"/>
      <c r="V73" s="495">
        <f t="shared" si="39"/>
        <v>0</v>
      </c>
      <c r="AH73" s="495"/>
      <c r="AI73" s="495">
        <v>1</v>
      </c>
      <c r="AJ73" s="495">
        <v>1</v>
      </c>
      <c r="AK73" s="495"/>
      <c r="AL73" s="495" t="str">
        <f t="shared" si="7"/>
        <v>-</v>
      </c>
      <c r="AM73" s="495">
        <f t="shared" si="8"/>
        <v>3</v>
      </c>
      <c r="AN73" s="495">
        <f t="shared" si="9"/>
        <v>3</v>
      </c>
      <c r="AO73" s="495" t="str">
        <f t="shared" si="10"/>
        <v>-</v>
      </c>
      <c r="AQ73" t="str">
        <f>IF(BF64=1,"○","")</f>
        <v/>
      </c>
      <c r="AR73" s="1" t="s">
        <v>1025</v>
      </c>
      <c r="AS73" s="495">
        <f t="shared" si="12"/>
        <v>3</v>
      </c>
    </row>
    <row r="74" spans="2:45" ht="16.5" customHeight="1">
      <c r="B74" s="522"/>
      <c r="C74" s="492" t="s">
        <v>866</v>
      </c>
      <c r="D74" s="541"/>
      <c r="E74" s="907"/>
      <c r="F74" s="908"/>
      <c r="G74" s="908"/>
      <c r="H74" s="908"/>
      <c r="I74" s="909"/>
      <c r="J74" s="696">
        <f t="shared" si="36"/>
        <v>3</v>
      </c>
      <c r="L74" s="1">
        <f>採点Qw3!D41</f>
        <v>3</v>
      </c>
      <c r="M74" s="1">
        <f t="shared" si="37"/>
        <v>1</v>
      </c>
      <c r="N74" s="1">
        <f t="shared" si="38"/>
        <v>3</v>
      </c>
      <c r="O74" s="544"/>
      <c r="P74" s="480"/>
      <c r="Q74" s="495"/>
      <c r="R74" s="495"/>
      <c r="S74" s="495">
        <v>1</v>
      </c>
      <c r="T74" s="495"/>
      <c r="U74" s="495"/>
      <c r="V74" s="495">
        <f t="shared" si="39"/>
        <v>0</v>
      </c>
      <c r="AH74" s="495">
        <v>1</v>
      </c>
      <c r="AI74" s="495"/>
      <c r="AJ74" s="495"/>
      <c r="AK74" s="495"/>
      <c r="AL74" s="495">
        <f t="shared" si="7"/>
        <v>3</v>
      </c>
      <c r="AM74" s="495" t="str">
        <f t="shared" si="8"/>
        <v>-</v>
      </c>
      <c r="AN74" s="495" t="str">
        <f t="shared" si="9"/>
        <v>-</v>
      </c>
      <c r="AO74" s="495" t="str">
        <f t="shared" si="10"/>
        <v>-</v>
      </c>
      <c r="AQ74" t="str">
        <f>IF(BF65=1,"○","")</f>
        <v/>
      </c>
      <c r="AR74" s="1" t="s">
        <v>1025</v>
      </c>
      <c r="AS74" s="495">
        <f t="shared" si="12"/>
        <v>3</v>
      </c>
    </row>
    <row r="75" spans="2:45" ht="16.5" customHeight="1">
      <c r="B75" s="738"/>
      <c r="C75" s="910" t="s">
        <v>867</v>
      </c>
      <c r="D75" s="911"/>
      <c r="E75" s="919"/>
      <c r="F75" s="920"/>
      <c r="G75" s="920"/>
      <c r="H75" s="920"/>
      <c r="I75" s="921"/>
      <c r="J75" s="696">
        <f t="shared" si="36"/>
        <v>3</v>
      </c>
      <c r="L75" s="1">
        <f>採点Qw3!D51</f>
        <v>3</v>
      </c>
      <c r="M75" s="1">
        <f t="shared" si="37"/>
        <v>1</v>
      </c>
      <c r="N75" s="1">
        <f t="shared" si="38"/>
        <v>3</v>
      </c>
      <c r="O75" s="544"/>
      <c r="P75" s="480"/>
      <c r="Q75" s="495"/>
      <c r="R75" s="495"/>
      <c r="S75" s="495"/>
      <c r="T75" s="495"/>
      <c r="U75" s="495"/>
      <c r="V75" s="495">
        <f t="shared" si="39"/>
        <v>0</v>
      </c>
      <c r="AH75" s="495"/>
      <c r="AI75" s="495">
        <v>1</v>
      </c>
      <c r="AJ75" s="495"/>
      <c r="AK75" s="495"/>
      <c r="AL75" s="495" t="str">
        <f t="shared" ref="AL75:AL92" si="40">IF(OR(AH75="",$J75="-"),"-",$J75*AH75)</f>
        <v>-</v>
      </c>
      <c r="AM75" s="495">
        <f t="shared" ref="AM75:AM92" si="41">IF(OR(AI75="",$J75="-"),"-",$J75*AI75)</f>
        <v>3</v>
      </c>
      <c r="AN75" s="495" t="str">
        <f t="shared" ref="AN75:AN92" si="42">IF(OR(AJ75="",$J75="-"),"-",$J75*AJ75)</f>
        <v>-</v>
      </c>
      <c r="AO75" s="495" t="str">
        <f t="shared" ref="AO75:AO92" si="43">IF(OR(AK75="",$J75="-"),"-",$J75*AK75)</f>
        <v>-</v>
      </c>
      <c r="AQ75" t="str">
        <f>IF(BF66=1,"○","")</f>
        <v/>
      </c>
      <c r="AR75" s="1" t="s">
        <v>1025</v>
      </c>
      <c r="AS75" s="495">
        <f t="shared" si="12"/>
        <v>3</v>
      </c>
    </row>
    <row r="76" spans="2:45" ht="16.5" customHeight="1">
      <c r="B76" s="523">
        <v>2</v>
      </c>
      <c r="C76" s="518" t="s">
        <v>509</v>
      </c>
      <c r="D76" s="535"/>
      <c r="E76" s="733"/>
      <c r="F76" s="734"/>
      <c r="G76" s="734"/>
      <c r="H76" s="734"/>
      <c r="I76" s="735"/>
      <c r="J76" s="545">
        <f>IFERROR(ROUNDDOWN(O76,1),0)</f>
        <v>3</v>
      </c>
      <c r="L76" s="495"/>
      <c r="M76" s="1">
        <f t="shared" si="37"/>
        <v>1</v>
      </c>
      <c r="N76" s="1" t="str">
        <f t="shared" si="38"/>
        <v>-</v>
      </c>
      <c r="O76" s="544">
        <f>IFERROR(AVERAGE(N77:N79),"-")</f>
        <v>3</v>
      </c>
      <c r="P76" s="480"/>
      <c r="Q76" s="495"/>
      <c r="R76" s="495"/>
      <c r="S76" s="495"/>
      <c r="T76" s="495"/>
      <c r="U76" s="495"/>
      <c r="V76" s="495">
        <f t="shared" si="39"/>
        <v>0</v>
      </c>
      <c r="AH76" s="558"/>
      <c r="AI76" s="558"/>
      <c r="AJ76" s="558"/>
      <c r="AK76" s="558"/>
      <c r="AL76" s="495" t="str">
        <f t="shared" si="40"/>
        <v>-</v>
      </c>
      <c r="AM76" s="495" t="str">
        <f t="shared" si="41"/>
        <v>-</v>
      </c>
      <c r="AN76" s="495" t="str">
        <f t="shared" si="42"/>
        <v>-</v>
      </c>
      <c r="AO76" s="495" t="str">
        <f t="shared" si="43"/>
        <v>-</v>
      </c>
      <c r="AR76" s="1"/>
      <c r="AS76" s="495" t="b">
        <f t="shared" si="12"/>
        <v>0</v>
      </c>
    </row>
    <row r="77" spans="2:45" ht="16.5" customHeight="1">
      <c r="B77" s="522"/>
      <c r="C77" s="492" t="s">
        <v>868</v>
      </c>
      <c r="D77" s="572"/>
      <c r="E77" s="907"/>
      <c r="F77" s="908"/>
      <c r="G77" s="908"/>
      <c r="H77" s="908"/>
      <c r="I77" s="909"/>
      <c r="J77" s="696">
        <f t="shared" si="36"/>
        <v>3</v>
      </c>
      <c r="L77" s="1">
        <f>採点Qw3!D61</f>
        <v>3</v>
      </c>
      <c r="M77" s="1">
        <f t="shared" si="37"/>
        <v>1</v>
      </c>
      <c r="N77" s="1">
        <f t="shared" si="38"/>
        <v>3</v>
      </c>
      <c r="O77" s="544"/>
      <c r="P77" s="480"/>
      <c r="Q77" s="495"/>
      <c r="R77" s="495"/>
      <c r="S77" s="495">
        <v>1</v>
      </c>
      <c r="T77" s="495"/>
      <c r="U77" s="495"/>
      <c r="V77" s="495">
        <f t="shared" si="39"/>
        <v>0</v>
      </c>
      <c r="AH77" s="495">
        <v>1</v>
      </c>
      <c r="AI77" s="495">
        <v>1</v>
      </c>
      <c r="AJ77" s="495">
        <v>1</v>
      </c>
      <c r="AK77" s="495">
        <v>1</v>
      </c>
      <c r="AL77" s="495">
        <f t="shared" si="40"/>
        <v>3</v>
      </c>
      <c r="AM77" s="495">
        <f t="shared" si="41"/>
        <v>3</v>
      </c>
      <c r="AN77" s="495">
        <f t="shared" si="42"/>
        <v>3</v>
      </c>
      <c r="AO77" s="495">
        <f t="shared" si="43"/>
        <v>3</v>
      </c>
      <c r="AQ77" t="str">
        <f>IF(BF67=1,"○","")</f>
        <v/>
      </c>
      <c r="AR77" s="1" t="s">
        <v>1025</v>
      </c>
      <c r="AS77" s="495">
        <f t="shared" ref="AS77:AS90" si="44">IF(OR(AR77=$AQ$94,AR77=$AQ$95,AR77=$AQ$96),J77)</f>
        <v>3</v>
      </c>
    </row>
    <row r="78" spans="2:45" ht="16.5" customHeight="1">
      <c r="B78" s="522"/>
      <c r="C78" s="492" t="s">
        <v>870</v>
      </c>
      <c r="D78" s="572"/>
      <c r="E78" s="907"/>
      <c r="F78" s="908"/>
      <c r="G78" s="908"/>
      <c r="H78" s="908"/>
      <c r="I78" s="909"/>
      <c r="J78" s="696">
        <f t="shared" si="36"/>
        <v>3</v>
      </c>
      <c r="L78" s="1">
        <f>採点Qw3!D70</f>
        <v>3</v>
      </c>
      <c r="M78" s="1">
        <f t="shared" si="37"/>
        <v>1</v>
      </c>
      <c r="N78" s="1">
        <f>IF(M78*L78=0,"-",M78*L78)</f>
        <v>3</v>
      </c>
      <c r="O78" s="544"/>
      <c r="P78" s="480"/>
      <c r="Q78" s="495"/>
      <c r="R78" s="495"/>
      <c r="S78" s="495">
        <v>1</v>
      </c>
      <c r="T78" s="495"/>
      <c r="U78" s="495"/>
      <c r="V78" s="495">
        <f t="shared" si="39"/>
        <v>0</v>
      </c>
      <c r="AH78" s="495">
        <v>1</v>
      </c>
      <c r="AI78" s="495"/>
      <c r="AJ78" s="495">
        <v>1</v>
      </c>
      <c r="AK78" s="495">
        <v>1</v>
      </c>
      <c r="AL78" s="495">
        <f t="shared" si="40"/>
        <v>3</v>
      </c>
      <c r="AM78" s="495" t="str">
        <f t="shared" si="41"/>
        <v>-</v>
      </c>
      <c r="AN78" s="495">
        <f t="shared" si="42"/>
        <v>3</v>
      </c>
      <c r="AO78" s="495">
        <f t="shared" si="43"/>
        <v>3</v>
      </c>
      <c r="AQ78" t="str">
        <f>IF(BF68=1,"○","")</f>
        <v/>
      </c>
      <c r="AR78" s="1" t="s">
        <v>1025</v>
      </c>
      <c r="AS78" s="495">
        <f t="shared" si="44"/>
        <v>3</v>
      </c>
    </row>
    <row r="79" spans="2:45" ht="16.5" customHeight="1">
      <c r="B79" s="737"/>
      <c r="C79" s="492" t="s">
        <v>869</v>
      </c>
      <c r="D79" s="572"/>
      <c r="E79" s="919"/>
      <c r="F79" s="920"/>
      <c r="G79" s="920"/>
      <c r="H79" s="920"/>
      <c r="I79" s="921"/>
      <c r="J79" s="696">
        <f t="shared" si="36"/>
        <v>3</v>
      </c>
      <c r="L79" s="1">
        <f>採点Qw3!D79</f>
        <v>3</v>
      </c>
      <c r="M79" s="1">
        <f t="shared" si="37"/>
        <v>1</v>
      </c>
      <c r="N79" s="1">
        <f t="shared" si="38"/>
        <v>3</v>
      </c>
      <c r="O79" s="544"/>
      <c r="P79" s="480"/>
      <c r="Q79" s="495"/>
      <c r="R79" s="495"/>
      <c r="S79" s="495">
        <v>1</v>
      </c>
      <c r="T79" s="495"/>
      <c r="U79" s="495"/>
      <c r="V79" s="495">
        <f t="shared" si="39"/>
        <v>0</v>
      </c>
      <c r="AH79" s="495">
        <v>1</v>
      </c>
      <c r="AI79" s="495"/>
      <c r="AJ79" s="495">
        <v>1</v>
      </c>
      <c r="AK79" s="495">
        <v>1</v>
      </c>
      <c r="AL79" s="495">
        <f t="shared" si="40"/>
        <v>3</v>
      </c>
      <c r="AM79" s="495" t="str">
        <f t="shared" si="41"/>
        <v>-</v>
      </c>
      <c r="AN79" s="495">
        <f t="shared" si="42"/>
        <v>3</v>
      </c>
      <c r="AO79" s="495">
        <f t="shared" si="43"/>
        <v>3</v>
      </c>
      <c r="AQ79" t="str">
        <f>IF(BF69=1,"○","")</f>
        <v/>
      </c>
      <c r="AR79" s="1" t="s">
        <v>1025</v>
      </c>
      <c r="AS79" s="495">
        <f t="shared" si="44"/>
        <v>3</v>
      </c>
    </row>
    <row r="80" spans="2:45" ht="16.5" customHeight="1">
      <c r="B80" s="523">
        <v>3</v>
      </c>
      <c r="C80" s="518" t="s">
        <v>326</v>
      </c>
      <c r="D80" s="535"/>
      <c r="E80" s="915"/>
      <c r="F80" s="916"/>
      <c r="G80" s="916"/>
      <c r="H80" s="916"/>
      <c r="I80" s="916"/>
      <c r="J80" s="545">
        <f>IFERROR(ROUNDDOWN(O80,1),0)</f>
        <v>3</v>
      </c>
      <c r="L80" s="1"/>
      <c r="M80" s="1">
        <f t="shared" si="37"/>
        <v>1</v>
      </c>
      <c r="N80" s="1" t="str">
        <f t="shared" si="38"/>
        <v>-</v>
      </c>
      <c r="O80" s="544">
        <f>IFERROR(AVERAGE(N81:N84),"-")</f>
        <v>3</v>
      </c>
      <c r="P80" s="480"/>
      <c r="Q80" s="495"/>
      <c r="R80" s="495"/>
      <c r="S80" s="495"/>
      <c r="T80" s="495"/>
      <c r="U80" s="495"/>
      <c r="V80" s="495">
        <f t="shared" si="39"/>
        <v>0</v>
      </c>
      <c r="AH80" s="558"/>
      <c r="AI80" s="558"/>
      <c r="AJ80" s="558"/>
      <c r="AK80" s="558"/>
      <c r="AL80" s="495" t="str">
        <f t="shared" si="40"/>
        <v>-</v>
      </c>
      <c r="AM80" s="495" t="str">
        <f t="shared" si="41"/>
        <v>-</v>
      </c>
      <c r="AN80" s="495" t="str">
        <f t="shared" si="42"/>
        <v>-</v>
      </c>
      <c r="AO80" s="495" t="str">
        <f t="shared" si="43"/>
        <v>-</v>
      </c>
      <c r="AR80" s="1"/>
      <c r="AS80" s="495" t="b">
        <f t="shared" si="44"/>
        <v>0</v>
      </c>
    </row>
    <row r="81" spans="2:45" ht="16.5" customHeight="1">
      <c r="B81" s="529"/>
      <c r="C81" s="917" t="s">
        <v>871</v>
      </c>
      <c r="D81" s="739" t="s">
        <v>873</v>
      </c>
      <c r="E81" s="907"/>
      <c r="F81" s="908"/>
      <c r="G81" s="908"/>
      <c r="H81" s="908"/>
      <c r="I81" s="909"/>
      <c r="J81" s="696">
        <f t="shared" ref="J81:J86" si="45">N81</f>
        <v>3</v>
      </c>
      <c r="L81" s="1">
        <f>採点Qw3!D99</f>
        <v>3</v>
      </c>
      <c r="M81" s="1">
        <f t="shared" si="37"/>
        <v>1</v>
      </c>
      <c r="N81" s="1">
        <f t="shared" si="38"/>
        <v>3</v>
      </c>
      <c r="O81" s="544"/>
      <c r="P81" s="480"/>
      <c r="Q81" s="495"/>
      <c r="R81" s="495"/>
      <c r="S81" s="495"/>
      <c r="T81" s="495"/>
      <c r="U81" s="495"/>
      <c r="V81" s="495">
        <f t="shared" si="39"/>
        <v>0</v>
      </c>
      <c r="AH81" s="495"/>
      <c r="AI81" s="495">
        <v>1</v>
      </c>
      <c r="AJ81" s="495"/>
      <c r="AK81" s="495"/>
      <c r="AL81" s="495" t="str">
        <f t="shared" si="40"/>
        <v>-</v>
      </c>
      <c r="AM81" s="495">
        <f t="shared" si="41"/>
        <v>3</v>
      </c>
      <c r="AN81" s="495" t="str">
        <f t="shared" si="42"/>
        <v>-</v>
      </c>
      <c r="AO81" s="495" t="str">
        <f t="shared" si="43"/>
        <v>-</v>
      </c>
      <c r="AQ81" t="str">
        <f>IF(BF70=1,"○","")</f>
        <v/>
      </c>
      <c r="AR81" s="1" t="s">
        <v>1024</v>
      </c>
      <c r="AS81" s="495">
        <f t="shared" si="44"/>
        <v>3</v>
      </c>
    </row>
    <row r="82" spans="2:45" ht="16.5" customHeight="1">
      <c r="B82" s="529"/>
      <c r="C82" s="918"/>
      <c r="D82" s="539" t="s">
        <v>874</v>
      </c>
      <c r="E82" s="907"/>
      <c r="F82" s="908"/>
      <c r="G82" s="908"/>
      <c r="H82" s="908"/>
      <c r="I82" s="909"/>
      <c r="J82" s="696">
        <f t="shared" si="45"/>
        <v>3</v>
      </c>
      <c r="L82" s="1">
        <f>採点Qw3!D109</f>
        <v>3</v>
      </c>
      <c r="M82" s="1">
        <f t="shared" si="37"/>
        <v>1</v>
      </c>
      <c r="N82" s="1">
        <f t="shared" si="38"/>
        <v>3</v>
      </c>
      <c r="O82" s="544"/>
      <c r="P82" s="480"/>
      <c r="Q82" s="495"/>
      <c r="R82" s="495"/>
      <c r="S82" s="495"/>
      <c r="T82" s="495"/>
      <c r="U82" s="495"/>
      <c r="V82" s="495">
        <f t="shared" si="39"/>
        <v>0</v>
      </c>
      <c r="AH82" s="495"/>
      <c r="AI82" s="495"/>
      <c r="AJ82" s="495">
        <v>1</v>
      </c>
      <c r="AK82" s="495"/>
      <c r="AL82" s="495" t="str">
        <f t="shared" si="40"/>
        <v>-</v>
      </c>
      <c r="AM82" s="495" t="str">
        <f t="shared" si="41"/>
        <v>-</v>
      </c>
      <c r="AN82" s="495">
        <f t="shared" si="42"/>
        <v>3</v>
      </c>
      <c r="AO82" s="495" t="str">
        <f t="shared" si="43"/>
        <v>-</v>
      </c>
      <c r="AQ82" t="str">
        <f>IF(BF71=1,"○","")</f>
        <v/>
      </c>
      <c r="AR82" s="1" t="s">
        <v>1024</v>
      </c>
      <c r="AS82" s="495">
        <f t="shared" si="44"/>
        <v>3</v>
      </c>
    </row>
    <row r="83" spans="2:45" ht="16.5" customHeight="1">
      <c r="B83" s="529"/>
      <c r="C83" s="917" t="s">
        <v>872</v>
      </c>
      <c r="D83" s="539" t="s">
        <v>875</v>
      </c>
      <c r="E83" s="907"/>
      <c r="F83" s="908"/>
      <c r="G83" s="908"/>
      <c r="H83" s="908"/>
      <c r="I83" s="909"/>
      <c r="J83" s="696">
        <f t="shared" si="45"/>
        <v>3</v>
      </c>
      <c r="L83" s="1">
        <f>採点Qw3!D133</f>
        <v>3</v>
      </c>
      <c r="M83" s="1">
        <f t="shared" si="37"/>
        <v>1</v>
      </c>
      <c r="N83" s="1">
        <f t="shared" si="38"/>
        <v>3</v>
      </c>
      <c r="O83" s="544"/>
      <c r="P83" s="480"/>
      <c r="Q83" s="495"/>
      <c r="R83" s="495"/>
      <c r="S83" s="495"/>
      <c r="T83" s="495"/>
      <c r="U83" s="495"/>
      <c r="V83" s="495">
        <f t="shared" si="39"/>
        <v>0</v>
      </c>
      <c r="AH83" s="495"/>
      <c r="AI83" s="495">
        <v>1</v>
      </c>
      <c r="AJ83" s="495"/>
      <c r="AK83" s="495"/>
      <c r="AL83" s="495" t="str">
        <f t="shared" si="40"/>
        <v>-</v>
      </c>
      <c r="AM83" s="495">
        <f t="shared" si="41"/>
        <v>3</v>
      </c>
      <c r="AN83" s="495" t="str">
        <f t="shared" si="42"/>
        <v>-</v>
      </c>
      <c r="AO83" s="495" t="str">
        <f t="shared" si="43"/>
        <v>-</v>
      </c>
      <c r="AQ83" t="str">
        <f>IF(BF72=1,"○","")</f>
        <v/>
      </c>
      <c r="AR83" s="1" t="s">
        <v>1024</v>
      </c>
      <c r="AS83" s="495">
        <f t="shared" si="44"/>
        <v>3</v>
      </c>
    </row>
    <row r="84" spans="2:45" ht="16.5" customHeight="1">
      <c r="B84" s="741"/>
      <c r="C84" s="918"/>
      <c r="D84" s="539" t="s">
        <v>876</v>
      </c>
      <c r="E84" s="919"/>
      <c r="F84" s="920"/>
      <c r="G84" s="920"/>
      <c r="H84" s="920"/>
      <c r="I84" s="921"/>
      <c r="J84" s="696">
        <f>N84</f>
        <v>3</v>
      </c>
      <c r="L84" s="1">
        <f>採点Qw3!D143</f>
        <v>3</v>
      </c>
      <c r="M84" s="1">
        <f t="shared" si="37"/>
        <v>1</v>
      </c>
      <c r="N84" s="1">
        <f t="shared" si="38"/>
        <v>3</v>
      </c>
      <c r="O84" s="544"/>
      <c r="P84" s="480"/>
      <c r="Q84" s="495"/>
      <c r="R84" s="495"/>
      <c r="S84" s="495"/>
      <c r="T84" s="495"/>
      <c r="U84" s="495"/>
      <c r="V84" s="495">
        <f t="shared" si="39"/>
        <v>0</v>
      </c>
      <c r="AH84" s="495"/>
      <c r="AI84" s="495">
        <v>1</v>
      </c>
      <c r="AJ84" s="495">
        <v>1</v>
      </c>
      <c r="AK84" s="495"/>
      <c r="AL84" s="495" t="str">
        <f t="shared" si="40"/>
        <v>-</v>
      </c>
      <c r="AM84" s="495">
        <f t="shared" si="41"/>
        <v>3</v>
      </c>
      <c r="AN84" s="495">
        <f t="shared" si="42"/>
        <v>3</v>
      </c>
      <c r="AO84" s="495" t="str">
        <f t="shared" si="43"/>
        <v>-</v>
      </c>
      <c r="AQ84" t="str">
        <f>IF(BF73=1,"○","")</f>
        <v/>
      </c>
      <c r="AR84" s="1" t="s">
        <v>1025</v>
      </c>
      <c r="AS84" s="495">
        <f t="shared" si="44"/>
        <v>3</v>
      </c>
    </row>
    <row r="85" spans="2:45" ht="16.5" customHeight="1">
      <c r="B85" s="523">
        <v>4</v>
      </c>
      <c r="C85" s="518" t="s">
        <v>380</v>
      </c>
      <c r="D85" s="535"/>
      <c r="E85" s="733"/>
      <c r="F85" s="734"/>
      <c r="G85" s="734"/>
      <c r="H85" s="734"/>
      <c r="I85" s="735"/>
      <c r="J85" s="545">
        <f>IFERROR(ROUNDDOWN(O85,1),0)</f>
        <v>3</v>
      </c>
      <c r="L85" s="1"/>
      <c r="M85" s="1">
        <f t="shared" si="37"/>
        <v>1</v>
      </c>
      <c r="N85" s="1" t="str">
        <f t="shared" si="38"/>
        <v>-</v>
      </c>
      <c r="O85" s="544">
        <f>IFERROR(AVERAGE(N86),"-")</f>
        <v>3</v>
      </c>
      <c r="P85" s="480"/>
      <c r="Q85" s="495"/>
      <c r="R85" s="495"/>
      <c r="S85" s="495"/>
      <c r="T85" s="495"/>
      <c r="U85" s="495"/>
      <c r="V85" s="495">
        <f t="shared" si="39"/>
        <v>0</v>
      </c>
      <c r="AH85" s="558"/>
      <c r="AI85" s="558"/>
      <c r="AJ85" s="558"/>
      <c r="AK85" s="558"/>
      <c r="AL85" s="495" t="str">
        <f t="shared" si="40"/>
        <v>-</v>
      </c>
      <c r="AM85" s="495" t="str">
        <f t="shared" si="41"/>
        <v>-</v>
      </c>
      <c r="AN85" s="495" t="str">
        <f t="shared" si="42"/>
        <v>-</v>
      </c>
      <c r="AO85" s="495" t="str">
        <f t="shared" si="43"/>
        <v>-</v>
      </c>
      <c r="AR85" s="1"/>
      <c r="AS85" s="495" t="b">
        <f t="shared" si="44"/>
        <v>0</v>
      </c>
    </row>
    <row r="86" spans="2:45" ht="16.5" customHeight="1">
      <c r="B86" s="740"/>
      <c r="C86" s="910" t="s">
        <v>877</v>
      </c>
      <c r="D86" s="911"/>
      <c r="E86" s="919"/>
      <c r="F86" s="920"/>
      <c r="G86" s="920"/>
      <c r="H86" s="920"/>
      <c r="I86" s="921"/>
      <c r="J86" s="696">
        <f t="shared" si="45"/>
        <v>3</v>
      </c>
      <c r="L86" s="1">
        <f>採点Qw3!D154</f>
        <v>3</v>
      </c>
      <c r="M86" s="1">
        <f t="shared" si="37"/>
        <v>1</v>
      </c>
      <c r="N86" s="1">
        <f t="shared" si="38"/>
        <v>3</v>
      </c>
      <c r="O86" s="544"/>
      <c r="P86" s="480"/>
      <c r="Q86" s="495"/>
      <c r="R86" s="495"/>
      <c r="S86" s="495"/>
      <c r="T86" s="495"/>
      <c r="U86" s="495"/>
      <c r="V86" s="495">
        <f t="shared" si="39"/>
        <v>0</v>
      </c>
      <c r="AH86" s="495">
        <v>1</v>
      </c>
      <c r="AI86" s="495">
        <v>1</v>
      </c>
      <c r="AJ86" s="495">
        <v>1</v>
      </c>
      <c r="AK86" s="495">
        <v>1</v>
      </c>
      <c r="AL86" s="495">
        <f t="shared" si="40"/>
        <v>3</v>
      </c>
      <c r="AM86" s="495">
        <f t="shared" si="41"/>
        <v>3</v>
      </c>
      <c r="AN86" s="495">
        <f t="shared" si="42"/>
        <v>3</v>
      </c>
      <c r="AO86" s="495">
        <f t="shared" si="43"/>
        <v>3</v>
      </c>
      <c r="AQ86" t="str">
        <f>IF(BF74=1,"○","")</f>
        <v/>
      </c>
      <c r="AR86" s="1" t="s">
        <v>1024</v>
      </c>
      <c r="AS86" s="495">
        <f t="shared" si="44"/>
        <v>3</v>
      </c>
    </row>
    <row r="87" spans="2:45" ht="16.5" customHeight="1">
      <c r="B87" s="523">
        <v>5</v>
      </c>
      <c r="C87" s="518" t="s">
        <v>1069</v>
      </c>
      <c r="D87" s="647"/>
      <c r="E87" s="733"/>
      <c r="F87" s="734"/>
      <c r="G87" s="734"/>
      <c r="H87" s="734"/>
      <c r="I87" s="735"/>
      <c r="J87" s="545">
        <f>IFERROR(ROUNDDOWN(O87,1),0)</f>
        <v>3</v>
      </c>
      <c r="L87" s="1"/>
      <c r="M87" s="1">
        <f t="shared" ref="M87" si="46">IF(V87&gt;0,0,1)</f>
        <v>1</v>
      </c>
      <c r="N87" s="1" t="str">
        <f t="shared" ref="N87" si="47">IF(M87*L87=0,"-",M87*L87)</f>
        <v>-</v>
      </c>
      <c r="O87" s="544">
        <f>IFERROR(AVERAGE(N88:N90),"-")</f>
        <v>3</v>
      </c>
      <c r="P87" s="480"/>
      <c r="Q87" s="495"/>
      <c r="R87" s="495"/>
      <c r="S87" s="495"/>
      <c r="T87" s="495"/>
      <c r="U87" s="495"/>
      <c r="V87" s="495">
        <f t="shared" ref="V87" si="48">SUMPRODUCT($Q$8:$U$8,Q87:U87)</f>
        <v>0</v>
      </c>
      <c r="AH87" s="558"/>
      <c r="AI87" s="558"/>
      <c r="AJ87" s="558"/>
      <c r="AK87" s="558"/>
      <c r="AL87" s="495" t="str">
        <f t="shared" si="40"/>
        <v>-</v>
      </c>
      <c r="AM87" s="495" t="str">
        <f t="shared" si="41"/>
        <v>-</v>
      </c>
      <c r="AN87" s="495" t="str">
        <f t="shared" si="42"/>
        <v>-</v>
      </c>
      <c r="AO87" s="495" t="str">
        <f t="shared" si="43"/>
        <v>-</v>
      </c>
      <c r="AR87" s="1"/>
      <c r="AS87" s="495" t="b">
        <f t="shared" si="44"/>
        <v>0</v>
      </c>
    </row>
    <row r="88" spans="2:45" ht="16.5" customHeight="1">
      <c r="B88" s="522"/>
      <c r="C88" s="492" t="s">
        <v>879</v>
      </c>
      <c r="D88" s="572"/>
      <c r="E88" s="907"/>
      <c r="F88" s="908"/>
      <c r="G88" s="908"/>
      <c r="H88" s="908"/>
      <c r="I88" s="909"/>
      <c r="J88" s="696">
        <f t="shared" ref="J88:J90" si="49">N88</f>
        <v>3</v>
      </c>
      <c r="L88" s="1">
        <f>採点Qw3!D164</f>
        <v>3</v>
      </c>
      <c r="M88" s="1">
        <f t="shared" si="37"/>
        <v>1</v>
      </c>
      <c r="N88" s="1">
        <f t="shared" si="38"/>
        <v>3</v>
      </c>
      <c r="O88" s="544"/>
      <c r="P88" s="480"/>
      <c r="Q88" s="495"/>
      <c r="R88" s="495"/>
      <c r="S88" s="495"/>
      <c r="T88" s="495"/>
      <c r="U88" s="495"/>
      <c r="V88" s="495">
        <f t="shared" si="39"/>
        <v>0</v>
      </c>
      <c r="AH88" s="495">
        <v>1</v>
      </c>
      <c r="AI88" s="495">
        <v>1</v>
      </c>
      <c r="AJ88" s="495">
        <v>1</v>
      </c>
      <c r="AK88" s="495">
        <v>1</v>
      </c>
      <c r="AL88" s="495">
        <f t="shared" si="40"/>
        <v>3</v>
      </c>
      <c r="AM88" s="495">
        <f t="shared" si="41"/>
        <v>3</v>
      </c>
      <c r="AN88" s="495">
        <f t="shared" si="42"/>
        <v>3</v>
      </c>
      <c r="AO88" s="495">
        <f t="shared" si="43"/>
        <v>3</v>
      </c>
      <c r="AQ88" t="str">
        <f>IF(BF75=1,"○","")</f>
        <v/>
      </c>
      <c r="AR88" s="1" t="s">
        <v>1026</v>
      </c>
      <c r="AS88" s="495" t="b">
        <f t="shared" si="44"/>
        <v>0</v>
      </c>
    </row>
    <row r="89" spans="2:45" ht="16.5" customHeight="1">
      <c r="B89" s="522"/>
      <c r="C89" s="492" t="s">
        <v>880</v>
      </c>
      <c r="D89" s="572"/>
      <c r="E89" s="907"/>
      <c r="F89" s="908"/>
      <c r="G89" s="908"/>
      <c r="H89" s="908"/>
      <c r="I89" s="909"/>
      <c r="J89" s="696">
        <f t="shared" si="49"/>
        <v>3</v>
      </c>
      <c r="L89" s="1">
        <f>採点Qw3!D174</f>
        <v>3</v>
      </c>
      <c r="M89" s="1">
        <f t="shared" si="37"/>
        <v>1</v>
      </c>
      <c r="N89" s="1">
        <f t="shared" si="38"/>
        <v>3</v>
      </c>
      <c r="O89" s="544"/>
      <c r="P89" s="480"/>
      <c r="Q89" s="495"/>
      <c r="R89" s="495"/>
      <c r="S89" s="495"/>
      <c r="T89" s="495"/>
      <c r="U89" s="495"/>
      <c r="V89" s="495">
        <f t="shared" si="39"/>
        <v>0</v>
      </c>
      <c r="AH89" s="495">
        <v>1</v>
      </c>
      <c r="AI89" s="495">
        <v>1</v>
      </c>
      <c r="AJ89" s="495">
        <v>1</v>
      </c>
      <c r="AK89" s="495"/>
      <c r="AL89" s="495">
        <f t="shared" si="40"/>
        <v>3</v>
      </c>
      <c r="AM89" s="495">
        <f t="shared" si="41"/>
        <v>3</v>
      </c>
      <c r="AN89" s="495">
        <f t="shared" si="42"/>
        <v>3</v>
      </c>
      <c r="AO89" s="495" t="str">
        <f t="shared" si="43"/>
        <v>-</v>
      </c>
      <c r="AQ89" t="str">
        <f>IF(BF76=1,"○","")</f>
        <v/>
      </c>
      <c r="AR89" s="1" t="s">
        <v>1026</v>
      </c>
      <c r="AS89" s="495" t="b">
        <f t="shared" si="44"/>
        <v>0</v>
      </c>
    </row>
    <row r="90" spans="2:45" ht="15" thickBot="1">
      <c r="B90" s="750"/>
      <c r="C90" s="751" t="s">
        <v>881</v>
      </c>
      <c r="D90" s="752"/>
      <c r="E90" s="922"/>
      <c r="F90" s="923"/>
      <c r="G90" s="923"/>
      <c r="H90" s="923"/>
      <c r="I90" s="924"/>
      <c r="J90" s="698">
        <f t="shared" si="49"/>
        <v>3</v>
      </c>
      <c r="L90" s="1">
        <f>採点Qw3!D193</f>
        <v>3</v>
      </c>
      <c r="M90" s="1">
        <f t="shared" si="37"/>
        <v>1</v>
      </c>
      <c r="N90" s="1">
        <f t="shared" si="38"/>
        <v>3</v>
      </c>
      <c r="O90" s="544"/>
      <c r="P90" s="480"/>
      <c r="Q90" s="495"/>
      <c r="R90" s="495"/>
      <c r="S90" s="495"/>
      <c r="T90" s="495"/>
      <c r="U90" s="495"/>
      <c r="V90" s="495">
        <f t="shared" si="39"/>
        <v>0</v>
      </c>
      <c r="AH90" s="495">
        <v>1</v>
      </c>
      <c r="AI90" s="495">
        <v>1</v>
      </c>
      <c r="AJ90" s="495">
        <v>1</v>
      </c>
      <c r="AK90" s="495">
        <v>1</v>
      </c>
      <c r="AL90" s="495">
        <f t="shared" si="40"/>
        <v>3</v>
      </c>
      <c r="AM90" s="495">
        <f t="shared" si="41"/>
        <v>3</v>
      </c>
      <c r="AN90" s="495">
        <f t="shared" si="42"/>
        <v>3</v>
      </c>
      <c r="AO90" s="495">
        <f t="shared" si="43"/>
        <v>3</v>
      </c>
      <c r="AQ90" t="str">
        <f>IF(BF77=1,"○","")</f>
        <v/>
      </c>
      <c r="AR90" s="1" t="s">
        <v>1026</v>
      </c>
      <c r="AS90" s="495" t="b">
        <f t="shared" si="44"/>
        <v>0</v>
      </c>
    </row>
    <row r="91" spans="2:45" ht="16.5" hidden="1" thickBot="1">
      <c r="B91" s="592" t="s">
        <v>492</v>
      </c>
      <c r="C91" s="593"/>
      <c r="D91" s="594"/>
      <c r="E91" s="595"/>
      <c r="F91" s="596"/>
      <c r="G91" s="596"/>
      <c r="H91" s="596"/>
      <c r="I91" s="596"/>
      <c r="J91" s="597">
        <f t="shared" ref="J91" si="50">IFERROR(ROUNDDOWN(O91,1),0)</f>
        <v>0</v>
      </c>
      <c r="L91" s="495"/>
      <c r="M91" s="1">
        <f t="shared" si="23"/>
        <v>1</v>
      </c>
      <c r="N91" s="1" t="str">
        <f t="shared" si="24"/>
        <v>-</v>
      </c>
      <c r="O91" s="544"/>
      <c r="P91" s="480"/>
      <c r="Q91" s="495"/>
      <c r="R91" s="495"/>
      <c r="S91" s="495"/>
      <c r="T91" s="495"/>
      <c r="U91" s="495"/>
      <c r="V91" s="495">
        <f t="shared" ref="V91:V92" si="51">SUMPRODUCT($Q$8:$U$8,Q91:U91)</f>
        <v>0</v>
      </c>
      <c r="AH91" s="558"/>
      <c r="AI91" s="558"/>
      <c r="AJ91" s="558"/>
      <c r="AK91" s="558"/>
      <c r="AL91" s="495" t="str">
        <f t="shared" si="40"/>
        <v>-</v>
      </c>
      <c r="AM91" s="495" t="str">
        <f t="shared" si="41"/>
        <v>-</v>
      </c>
      <c r="AN91" s="495" t="str">
        <f t="shared" si="42"/>
        <v>-</v>
      </c>
      <c r="AO91" s="495" t="str">
        <f t="shared" si="43"/>
        <v>-</v>
      </c>
    </row>
    <row r="92" spans="2:45" ht="16.5" hidden="1" thickBot="1">
      <c r="B92" s="592" t="s">
        <v>493</v>
      </c>
      <c r="C92" s="593"/>
      <c r="D92" s="594"/>
      <c r="E92" s="595"/>
      <c r="F92" s="596"/>
      <c r="G92" s="596"/>
      <c r="H92" s="596"/>
      <c r="I92" s="596"/>
      <c r="J92" s="597">
        <f>IFERROR(ROUNDDOWN(O92,1),0)</f>
        <v>0</v>
      </c>
      <c r="L92" s="1"/>
      <c r="M92" s="1">
        <f t="shared" ref="M92" si="52">IF(V92&gt;0,0,1)</f>
        <v>1</v>
      </c>
      <c r="N92" s="1" t="str">
        <f t="shared" ref="N92" si="53">IF(M92*L92=0,"-",M92*L92)</f>
        <v>-</v>
      </c>
      <c r="O92" s="544"/>
      <c r="P92" s="480"/>
      <c r="Q92" s="495"/>
      <c r="R92" s="495"/>
      <c r="S92" s="495"/>
      <c r="T92" s="495"/>
      <c r="U92" s="495"/>
      <c r="V92" s="495">
        <f t="shared" si="51"/>
        <v>0</v>
      </c>
      <c r="AH92" s="558"/>
      <c r="AI92" s="558"/>
      <c r="AJ92" s="558"/>
      <c r="AK92" s="558"/>
      <c r="AL92" s="495" t="str">
        <f t="shared" si="40"/>
        <v>-</v>
      </c>
      <c r="AM92" s="495" t="str">
        <f t="shared" si="41"/>
        <v>-</v>
      </c>
      <c r="AN92" s="495" t="str">
        <f t="shared" si="42"/>
        <v>-</v>
      </c>
      <c r="AO92" s="495" t="str">
        <f t="shared" si="43"/>
        <v>-</v>
      </c>
    </row>
    <row r="93" spans="2:45" ht="14.25" thickBot="1"/>
    <row r="94" spans="2:45" ht="15" thickBot="1">
      <c r="B94" s="781" t="s">
        <v>971</v>
      </c>
      <c r="C94" s="782"/>
      <c r="D94" s="783"/>
      <c r="E94" s="783"/>
      <c r="F94" s="793" t="s">
        <v>115</v>
      </c>
      <c r="G94" s="793" t="s">
        <v>968</v>
      </c>
      <c r="H94" s="793" t="s">
        <v>300</v>
      </c>
      <c r="I94" s="793" t="s">
        <v>414</v>
      </c>
      <c r="J94" s="794" t="s">
        <v>969</v>
      </c>
      <c r="AQ94" s="1" t="s">
        <v>1025</v>
      </c>
      <c r="AR94" s="1">
        <f>AVERAGEIF($AR$12:$AR$90,AQ94,$J$12:$J$90)</f>
        <v>3</v>
      </c>
      <c r="AS94" s="495">
        <f>AVERAGE(AS12:AS90)</f>
        <v>3</v>
      </c>
    </row>
    <row r="95" spans="2:45" ht="16.5" thickBot="1">
      <c r="B95" s="779" t="s">
        <v>970</v>
      </c>
      <c r="C95" s="780"/>
      <c r="D95" s="784"/>
      <c r="E95" s="784"/>
      <c r="F95" s="795"/>
      <c r="G95" s="795"/>
      <c r="H95" s="795"/>
      <c r="I95" s="795"/>
      <c r="J95" s="819">
        <f>IFERROR(ROUNDDOWN(H96*O96+H102*O102+H111*O111,1),0)</f>
        <v>3</v>
      </c>
      <c r="AQ95" s="1" t="s">
        <v>1024</v>
      </c>
      <c r="AR95" s="1">
        <f>AVERAGEIF($AR$12:$AR$90,AQ95,$J$12:$J$90)</f>
        <v>3</v>
      </c>
    </row>
    <row r="96" spans="2:45" ht="15.75">
      <c r="B96" s="785" t="s">
        <v>1032</v>
      </c>
      <c r="C96" s="786"/>
      <c r="D96" s="787"/>
      <c r="E96" s="787"/>
      <c r="F96" s="796"/>
      <c r="G96" s="796"/>
      <c r="H96" s="820">
        <v>0.4</v>
      </c>
      <c r="I96" s="818">
        <f>ROUNDDOWN(O96,1)</f>
        <v>3</v>
      </c>
      <c r="J96" s="788">
        <f>IFERROR(ROUNDDOWN(#REF!,1),0)</f>
        <v>0</v>
      </c>
      <c r="M96" s="495"/>
      <c r="N96" s="495">
        <f>SUMPRODUCT(F97:F101,H97:H101)</f>
        <v>3</v>
      </c>
      <c r="O96" s="858">
        <f>N96/SUM(M97:M101)</f>
        <v>3.0000000000000004</v>
      </c>
      <c r="AQ96" s="1" t="s">
        <v>1022</v>
      </c>
      <c r="AR96" s="1">
        <f>AVERAGEIF($AR$12:$AR$90,AQ96,$J$12:$J$90)</f>
        <v>3</v>
      </c>
    </row>
    <row r="97" spans="2:44" ht="14.25">
      <c r="B97" s="801"/>
      <c r="C97" s="790" t="s">
        <v>1033</v>
      </c>
      <c r="D97" s="790"/>
      <c r="E97" s="789"/>
      <c r="F97" s="854">
        <f>J71</f>
        <v>3</v>
      </c>
      <c r="G97" s="797"/>
      <c r="H97" s="821">
        <v>0.2</v>
      </c>
      <c r="I97" s="797"/>
      <c r="J97" s="802"/>
      <c r="L97" s="461" t="s">
        <v>1053</v>
      </c>
      <c r="M97" s="495">
        <f>IF(F97="-",0,H97)</f>
        <v>0.2</v>
      </c>
      <c r="N97" s="495"/>
      <c r="O97" s="858"/>
      <c r="Q97" t="str">
        <f>D71</f>
        <v>1.1.1　空間の形状・自由さ</v>
      </c>
      <c r="R97"/>
      <c r="AQ97" s="1" t="s">
        <v>1028</v>
      </c>
      <c r="AR97" s="1">
        <f>AVERAGEIF($AR$12:$AR$90,AQ97,$J$12:$J$90)</f>
        <v>3</v>
      </c>
    </row>
    <row r="98" spans="2:44" ht="14.25">
      <c r="B98" s="803"/>
      <c r="C98" s="792" t="s">
        <v>1034</v>
      </c>
      <c r="D98" s="791"/>
      <c r="E98" s="791"/>
      <c r="F98" s="855">
        <f>J74</f>
        <v>3</v>
      </c>
      <c r="G98" s="798" t="s">
        <v>972</v>
      </c>
      <c r="H98" s="822">
        <v>0.5</v>
      </c>
      <c r="I98" s="798"/>
      <c r="J98" s="804"/>
      <c r="L98" s="461" t="s">
        <v>461</v>
      </c>
      <c r="M98" s="495">
        <f t="shared" ref="M98:M101" si="54">IF(F98="-",0,H98)</f>
        <v>0.5</v>
      </c>
      <c r="N98" s="495"/>
      <c r="O98" s="858"/>
      <c r="Q98" t="str">
        <f>C74</f>
        <v>1.2　広さ</v>
      </c>
      <c r="R98"/>
      <c r="AQ98" s="1" t="s">
        <v>1026</v>
      </c>
      <c r="AR98" s="1">
        <f>AVERAGEIF($AR$12:$AR$90,AQ98,$J$12:$J$90)</f>
        <v>3</v>
      </c>
    </row>
    <row r="99" spans="2:44" ht="14.25">
      <c r="B99" s="803"/>
      <c r="C99" s="792" t="s">
        <v>1035</v>
      </c>
      <c r="D99" s="791"/>
      <c r="E99" s="791"/>
      <c r="F99" s="855">
        <f>J79</f>
        <v>3</v>
      </c>
      <c r="G99" s="798"/>
      <c r="H99" s="822">
        <v>0.1</v>
      </c>
      <c r="I99" s="798"/>
      <c r="J99" s="804"/>
      <c r="L99" s="461" t="s">
        <v>1054</v>
      </c>
      <c r="M99" s="495">
        <f t="shared" si="54"/>
        <v>0.1</v>
      </c>
      <c r="N99" s="495"/>
      <c r="O99" s="858"/>
      <c r="Q99" t="str">
        <f>C79</f>
        <v>2.3　ＯＡ機器等の充実度</v>
      </c>
      <c r="R99"/>
    </row>
    <row r="100" spans="2:44" ht="14.25">
      <c r="B100" s="803"/>
      <c r="C100" s="792" t="s">
        <v>1036</v>
      </c>
      <c r="D100" s="791"/>
      <c r="E100" s="791"/>
      <c r="F100" s="855">
        <f>J86</f>
        <v>3</v>
      </c>
      <c r="G100" s="798"/>
      <c r="H100" s="822">
        <v>0.1</v>
      </c>
      <c r="I100" s="798"/>
      <c r="J100" s="804"/>
      <c r="L100" s="461" t="s">
        <v>403</v>
      </c>
      <c r="M100" s="495">
        <f t="shared" si="54"/>
        <v>0.1</v>
      </c>
      <c r="N100" s="495"/>
      <c r="O100" s="858"/>
      <c r="Q100" t="str">
        <f>C86</f>
        <v>4.1　高度情報通信インフラ</v>
      </c>
      <c r="R100"/>
    </row>
    <row r="101" spans="2:44" ht="15" thickBot="1">
      <c r="B101" s="805"/>
      <c r="C101" s="806" t="s">
        <v>1037</v>
      </c>
      <c r="D101" s="806"/>
      <c r="E101" s="806"/>
      <c r="F101" s="856">
        <f>J90</f>
        <v>3</v>
      </c>
      <c r="G101" s="807" t="s">
        <v>973</v>
      </c>
      <c r="H101" s="823">
        <v>0.1</v>
      </c>
      <c r="I101" s="807"/>
      <c r="J101" s="808"/>
      <c r="L101" s="461" t="s">
        <v>1055</v>
      </c>
      <c r="M101" s="495">
        <f t="shared" si="54"/>
        <v>0.1</v>
      </c>
      <c r="N101" s="495"/>
      <c r="O101" s="858"/>
      <c r="Q101" t="str">
        <f>C90</f>
        <v>5.3  健康維持・増進プログラム</v>
      </c>
      <c r="R101"/>
    </row>
    <row r="102" spans="2:44" ht="15.75">
      <c r="B102" s="785" t="s">
        <v>1038</v>
      </c>
      <c r="C102" s="786"/>
      <c r="D102" s="787"/>
      <c r="E102" s="787"/>
      <c r="F102" s="796"/>
      <c r="G102" s="796"/>
      <c r="H102" s="820">
        <v>0.4</v>
      </c>
      <c r="I102" s="818">
        <f>ROUNDDOWN(O102,1)</f>
        <v>3</v>
      </c>
      <c r="J102" s="788">
        <f>IFERROR(ROUNDDOWN(R102,1),0)</f>
        <v>0</v>
      </c>
      <c r="M102" s="495"/>
      <c r="N102" s="495">
        <f>SUMPRODUCT(F103:F110,H103:H110)</f>
        <v>3</v>
      </c>
      <c r="O102" s="858">
        <f>N102/SUM(M103:M110)</f>
        <v>3.0000000000000004</v>
      </c>
      <c r="Q102"/>
      <c r="R102"/>
    </row>
    <row r="103" spans="2:44" ht="14.25">
      <c r="B103" s="809"/>
      <c r="C103" s="790" t="s">
        <v>1008</v>
      </c>
      <c r="D103" s="790"/>
      <c r="E103" s="790"/>
      <c r="F103" s="854">
        <f>J53</f>
        <v>3</v>
      </c>
      <c r="G103" s="799"/>
      <c r="H103" s="824">
        <v>0.1</v>
      </c>
      <c r="I103" s="799"/>
      <c r="J103" s="810"/>
      <c r="L103" s="461" t="s">
        <v>998</v>
      </c>
      <c r="M103" s="495">
        <f>IF(F103="-",0,H103)</f>
        <v>0.1</v>
      </c>
      <c r="N103" s="495"/>
      <c r="O103" s="858"/>
      <c r="Q103" t="str">
        <f>C53</f>
        <v>6.1　空調方式および個別制御性</v>
      </c>
      <c r="R103"/>
    </row>
    <row r="104" spans="2:44" ht="14.25">
      <c r="B104" s="811"/>
      <c r="C104" s="792" t="s">
        <v>1039</v>
      </c>
      <c r="D104" s="792"/>
      <c r="E104" s="792"/>
      <c r="F104" s="855">
        <f>J57</f>
        <v>3</v>
      </c>
      <c r="G104" s="800" t="s">
        <v>973</v>
      </c>
      <c r="H104" s="825">
        <v>0.25</v>
      </c>
      <c r="I104" s="800"/>
      <c r="J104" s="812"/>
      <c r="L104" s="461" t="s">
        <v>1056</v>
      </c>
      <c r="M104" s="495">
        <f t="shared" ref="M104:M110" si="55">IF(F104="-",0,H104)</f>
        <v>0.25</v>
      </c>
      <c r="N104" s="495"/>
      <c r="O104" s="858"/>
      <c r="Q104" t="str">
        <f>D57</f>
        <v>6.4.1　換気量</v>
      </c>
      <c r="R104"/>
    </row>
    <row r="105" spans="2:44" ht="14.25">
      <c r="B105" s="811"/>
      <c r="C105" s="792" t="s">
        <v>1040</v>
      </c>
      <c r="D105" s="792"/>
      <c r="E105" s="792"/>
      <c r="F105" s="855">
        <f>J58</f>
        <v>3</v>
      </c>
      <c r="G105" s="800"/>
      <c r="H105" s="825">
        <v>0.1</v>
      </c>
      <c r="I105" s="800"/>
      <c r="J105" s="812"/>
      <c r="L105" s="461" t="s">
        <v>1057</v>
      </c>
      <c r="M105" s="495">
        <f t="shared" si="55"/>
        <v>0.1</v>
      </c>
      <c r="N105" s="495"/>
      <c r="O105" s="858"/>
      <c r="Q105" t="str">
        <f>D58</f>
        <v>6.4.2　自然換気性能</v>
      </c>
      <c r="R105"/>
    </row>
    <row r="106" spans="2:44" ht="14.25">
      <c r="B106" s="811"/>
      <c r="C106" s="792" t="s">
        <v>1041</v>
      </c>
      <c r="D106" s="792"/>
      <c r="E106" s="792"/>
      <c r="F106" s="855">
        <f>J62</f>
        <v>3</v>
      </c>
      <c r="G106" s="800"/>
      <c r="H106" s="825">
        <v>0.05</v>
      </c>
      <c r="I106" s="800"/>
      <c r="J106" s="812"/>
      <c r="L106" s="461" t="s">
        <v>502</v>
      </c>
      <c r="M106" s="495">
        <f t="shared" si="55"/>
        <v>0.05</v>
      </c>
      <c r="N106" s="495"/>
      <c r="O106" s="858"/>
      <c r="Q106" t="str">
        <f>C62</f>
        <v>7.2　維持管理用機能の確保</v>
      </c>
      <c r="R106"/>
    </row>
    <row r="107" spans="2:44" ht="14.25">
      <c r="B107" s="811"/>
      <c r="C107" s="792" t="s">
        <v>1042</v>
      </c>
      <c r="D107" s="792"/>
      <c r="E107" s="792"/>
      <c r="F107" s="855">
        <f>J63</f>
        <v>3</v>
      </c>
      <c r="G107" s="800" t="s">
        <v>973</v>
      </c>
      <c r="H107" s="825">
        <v>0.15</v>
      </c>
      <c r="I107" s="800"/>
      <c r="J107" s="812"/>
      <c r="L107" s="461" t="s">
        <v>389</v>
      </c>
      <c r="M107" s="495">
        <f t="shared" si="55"/>
        <v>0.15</v>
      </c>
      <c r="N107" s="495"/>
      <c r="O107" s="858"/>
      <c r="Q107" t="str">
        <f>C63</f>
        <v>7.3　維持保全計画</v>
      </c>
      <c r="R107"/>
    </row>
    <row r="108" spans="2:44" ht="14.25">
      <c r="B108" s="811"/>
      <c r="C108" s="792" t="s">
        <v>1043</v>
      </c>
      <c r="D108" s="792"/>
      <c r="E108" s="792"/>
      <c r="F108" s="855">
        <f>J64</f>
        <v>3</v>
      </c>
      <c r="G108" s="800"/>
      <c r="H108" s="825">
        <v>0.1</v>
      </c>
      <c r="I108" s="800"/>
      <c r="J108" s="812"/>
      <c r="K108">
        <f t="shared" ref="K108" si="56">K64</f>
        <v>0</v>
      </c>
      <c r="L108" s="461" t="s">
        <v>1058</v>
      </c>
      <c r="M108" s="495">
        <f t="shared" si="55"/>
        <v>0.1</v>
      </c>
      <c r="N108" s="495"/>
      <c r="O108" s="858"/>
      <c r="Q108" t="str">
        <f>D64</f>
        <v>7.4.1　定期調査・検査報告書</v>
      </c>
      <c r="R108"/>
    </row>
    <row r="109" spans="2:44" ht="14.25">
      <c r="B109" s="811"/>
      <c r="C109" s="792" t="s">
        <v>1044</v>
      </c>
      <c r="D109" s="792"/>
      <c r="E109" s="792"/>
      <c r="F109" s="855">
        <f>J65</f>
        <v>3</v>
      </c>
      <c r="G109" s="800" t="s">
        <v>973</v>
      </c>
      <c r="H109" s="825">
        <v>0.15</v>
      </c>
      <c r="I109" s="800"/>
      <c r="J109" s="812"/>
      <c r="K109">
        <f t="shared" ref="K109" si="57">K65</f>
        <v>0</v>
      </c>
      <c r="L109" s="461" t="s">
        <v>1059</v>
      </c>
      <c r="M109" s="495">
        <f t="shared" si="55"/>
        <v>0.15</v>
      </c>
      <c r="N109" s="495"/>
      <c r="O109" s="858"/>
      <c r="Q109" t="str">
        <f>D65</f>
        <v>7.4.2　維持管理レベル</v>
      </c>
      <c r="R109"/>
    </row>
    <row r="110" spans="2:44" ht="15" thickBot="1">
      <c r="B110" s="805"/>
      <c r="C110" s="806" t="s">
        <v>1037</v>
      </c>
      <c r="D110" s="806"/>
      <c r="E110" s="806"/>
      <c r="F110" s="857">
        <f>J90</f>
        <v>3</v>
      </c>
      <c r="G110" s="807" t="s">
        <v>973</v>
      </c>
      <c r="H110" s="823">
        <v>0.1</v>
      </c>
      <c r="I110" s="807"/>
      <c r="J110" s="808"/>
      <c r="L110" s="461" t="s">
        <v>1055</v>
      </c>
      <c r="M110" s="495">
        <f t="shared" si="55"/>
        <v>0.1</v>
      </c>
      <c r="N110" s="495"/>
      <c r="O110" s="858"/>
      <c r="Q110" t="str">
        <f>C90</f>
        <v>5.3  健康維持・増進プログラム</v>
      </c>
      <c r="R110"/>
    </row>
    <row r="111" spans="2:44" ht="15.75">
      <c r="B111" s="813" t="s">
        <v>1045</v>
      </c>
      <c r="C111" s="814"/>
      <c r="D111" s="815"/>
      <c r="E111" s="815"/>
      <c r="F111" s="816"/>
      <c r="G111" s="816"/>
      <c r="H111" s="826">
        <v>0.2</v>
      </c>
      <c r="I111" s="818">
        <f>ROUNDDOWN(O111,1)</f>
        <v>3</v>
      </c>
      <c r="J111" s="788">
        <f>IFERROR(ROUNDDOWN(R111,1),0)</f>
        <v>0</v>
      </c>
      <c r="M111" s="495"/>
      <c r="N111" s="495">
        <f>SUMPRODUCT(F112:F114,H112:H114)</f>
        <v>3</v>
      </c>
      <c r="O111" s="858">
        <f>N111/SUM(M112:M114)</f>
        <v>3</v>
      </c>
      <c r="Q111"/>
      <c r="R111"/>
    </row>
    <row r="112" spans="2:44" ht="14.25">
      <c r="B112" s="809"/>
      <c r="C112" s="790" t="s">
        <v>1046</v>
      </c>
      <c r="D112" s="790"/>
      <c r="E112" s="790"/>
      <c r="F112" s="854">
        <f>J73</f>
        <v>3</v>
      </c>
      <c r="G112" s="799"/>
      <c r="H112" s="824">
        <v>0.5</v>
      </c>
      <c r="I112" s="799"/>
      <c r="J112" s="810"/>
      <c r="L112" s="461" t="s">
        <v>1060</v>
      </c>
      <c r="M112" s="495">
        <f>IF(F112="-",0,H112)</f>
        <v>0.5</v>
      </c>
      <c r="N112" s="495"/>
      <c r="O112" s="858"/>
      <c r="Q112" t="str">
        <f>D73</f>
        <v>1.1.3　設備機器の区画別運用の可変性</v>
      </c>
      <c r="R112"/>
    </row>
    <row r="113" spans="2:18" ht="14.25">
      <c r="B113" s="811"/>
      <c r="C113" s="792" t="s">
        <v>1047</v>
      </c>
      <c r="D113" s="792"/>
      <c r="E113" s="792"/>
      <c r="F113" s="855">
        <f>J89</f>
        <v>3</v>
      </c>
      <c r="G113" s="800"/>
      <c r="H113" s="825">
        <v>0.25</v>
      </c>
      <c r="I113" s="800"/>
      <c r="J113" s="812"/>
      <c r="L113" s="461" t="s">
        <v>800</v>
      </c>
      <c r="M113" s="495">
        <f t="shared" ref="M113:M114" si="58">IF(F113="-",0,H113)</f>
        <v>0.25</v>
      </c>
      <c r="N113" s="495"/>
      <c r="O113" s="858"/>
      <c r="Q113" t="str">
        <f>C89</f>
        <v>5.2  情報共有インフラ</v>
      </c>
      <c r="R113"/>
    </row>
    <row r="114" spans="2:18" ht="15" thickBot="1">
      <c r="B114" s="805"/>
      <c r="C114" s="817" t="s">
        <v>1037</v>
      </c>
      <c r="D114" s="806"/>
      <c r="E114" s="806"/>
      <c r="F114" s="857">
        <f>J90</f>
        <v>3</v>
      </c>
      <c r="G114" s="807" t="s">
        <v>973</v>
      </c>
      <c r="H114" s="823">
        <v>0.25</v>
      </c>
      <c r="I114" s="807"/>
      <c r="J114" s="808"/>
      <c r="L114" s="461" t="s">
        <v>1055</v>
      </c>
      <c r="M114" s="495">
        <f t="shared" si="58"/>
        <v>0.25</v>
      </c>
      <c r="N114" s="495"/>
      <c r="O114" s="858"/>
      <c r="Q114" t="str">
        <f>C90</f>
        <v>5.3  健康維持・増進プログラム</v>
      </c>
      <c r="R114"/>
    </row>
    <row r="115" spans="2:18"/>
    <row r="116" spans="2:18">
      <c r="C116"/>
    </row>
    <row r="117" spans="2:18">
      <c r="C117"/>
    </row>
    <row r="118" spans="2:18">
      <c r="C118"/>
    </row>
    <row r="119" spans="2:18">
      <c r="C119"/>
    </row>
    <row r="120" spans="2:18">
      <c r="C120"/>
    </row>
    <row r="121" spans="2:18">
      <c r="C121"/>
    </row>
    <row r="122" spans="2:18">
      <c r="C122"/>
    </row>
    <row r="123" spans="2:18">
      <c r="C123"/>
    </row>
    <row r="124" spans="2:18">
      <c r="C124"/>
    </row>
    <row r="125" spans="2:18">
      <c r="C125"/>
    </row>
    <row r="126" spans="2:18">
      <c r="C126"/>
    </row>
    <row r="127" spans="2:18">
      <c r="C127"/>
    </row>
    <row r="128" spans="2:18">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sheetData>
  <sheetProtection algorithmName="SHA-512" hashValue="OkHKtfyyq+KRfhbJbGdiTvd/MJfwpxkysYfoLoshx3ZOPv6GOyHsBu3QLgHRwnAQMr961VaIIelesrHstKwiOg==" saltValue="S0aOKocTnim8PgU+zMAR9A==" spinCount="100000" sheet="1" objects="1" scenarios="1"/>
  <mergeCells count="94">
    <mergeCell ref="E51:I51"/>
    <mergeCell ref="E39:I39"/>
    <mergeCell ref="E43:I43"/>
    <mergeCell ref="E46:I46"/>
    <mergeCell ref="E48:I48"/>
    <mergeCell ref="E38:I38"/>
    <mergeCell ref="E37:I37"/>
    <mergeCell ref="E36:I36"/>
    <mergeCell ref="E49:I49"/>
    <mergeCell ref="E50:I50"/>
    <mergeCell ref="E57:I57"/>
    <mergeCell ref="J6:J7"/>
    <mergeCell ref="C33:C34"/>
    <mergeCell ref="E33:I33"/>
    <mergeCell ref="E34:I34"/>
    <mergeCell ref="E45:I45"/>
    <mergeCell ref="E32:I32"/>
    <mergeCell ref="C39:D39"/>
    <mergeCell ref="C36:D36"/>
    <mergeCell ref="C37:D37"/>
    <mergeCell ref="C38:D38"/>
    <mergeCell ref="C29:D29"/>
    <mergeCell ref="C24:C25"/>
    <mergeCell ref="C12:C14"/>
    <mergeCell ref="C43:D43"/>
    <mergeCell ref="C42:D42"/>
    <mergeCell ref="C68:D68"/>
    <mergeCell ref="C59:D59"/>
    <mergeCell ref="C61:D61"/>
    <mergeCell ref="C62:D62"/>
    <mergeCell ref="C63:D63"/>
    <mergeCell ref="E53:I53"/>
    <mergeCell ref="C54:C55"/>
    <mergeCell ref="C56:D56"/>
    <mergeCell ref="E54:I54"/>
    <mergeCell ref="E55:I55"/>
    <mergeCell ref="E56:I56"/>
    <mergeCell ref="E90:I90"/>
    <mergeCell ref="C16:D16"/>
    <mergeCell ref="C17:D17"/>
    <mergeCell ref="C20:D20"/>
    <mergeCell ref="E88:I88"/>
    <mergeCell ref="E89:I89"/>
    <mergeCell ref="E20:I20"/>
    <mergeCell ref="E17:I17"/>
    <mergeCell ref="E40:I40"/>
    <mergeCell ref="E84:I84"/>
    <mergeCell ref="E59:I59"/>
    <mergeCell ref="E42:I42"/>
    <mergeCell ref="E58:I58"/>
    <mergeCell ref="C75:D75"/>
    <mergeCell ref="C40:D40"/>
    <mergeCell ref="C71:C73"/>
    <mergeCell ref="C86:D86"/>
    <mergeCell ref="E83:I83"/>
    <mergeCell ref="E72:I72"/>
    <mergeCell ref="E73:I73"/>
    <mergeCell ref="E86:I86"/>
    <mergeCell ref="E75:I75"/>
    <mergeCell ref="E77:I77"/>
    <mergeCell ref="E78:I78"/>
    <mergeCell ref="E79:I79"/>
    <mergeCell ref="E74:I74"/>
    <mergeCell ref="E81:I81"/>
    <mergeCell ref="E82:I82"/>
    <mergeCell ref="C81:C82"/>
    <mergeCell ref="C83:C84"/>
    <mergeCell ref="E11:I11"/>
    <mergeCell ref="E22:I22"/>
    <mergeCell ref="E23:I23"/>
    <mergeCell ref="E27:I27"/>
    <mergeCell ref="E19:I19"/>
    <mergeCell ref="E24:I24"/>
    <mergeCell ref="E25:I25"/>
    <mergeCell ref="E16:I16"/>
    <mergeCell ref="E12:I12"/>
    <mergeCell ref="E13:I13"/>
    <mergeCell ref="E14:I14"/>
    <mergeCell ref="E29:I29"/>
    <mergeCell ref="C15:D15"/>
    <mergeCell ref="E15:I15"/>
    <mergeCell ref="E80:I80"/>
    <mergeCell ref="E61:I61"/>
    <mergeCell ref="E62:I62"/>
    <mergeCell ref="E63:I63"/>
    <mergeCell ref="E64:I64"/>
    <mergeCell ref="E65:I65"/>
    <mergeCell ref="E66:I66"/>
    <mergeCell ref="E68:I68"/>
    <mergeCell ref="E71:I71"/>
    <mergeCell ref="C64:C65"/>
    <mergeCell ref="C66:D66"/>
    <mergeCell ref="C49:C50"/>
    <mergeCell ref="C57:C58"/>
  </mergeCells>
  <phoneticPr fontId="23"/>
  <conditionalFormatting sqref="E124">
    <cfRule type="expression" dxfId="160" priority="113">
      <formula>J124&gt;3</formula>
    </cfRule>
  </conditionalFormatting>
  <conditionalFormatting sqref="E12:G17 I12:I17 E19:G20 I19:I20 E22:G25 I22:I25 E27:G27 I27 E29:G29 I29 E32:G34 I32:I34 E36:G40 I36:I40 E42:G43 I42:I43 E45:G46 I45:I46 E48:G51 I48:I51 E53:G59 I53:I59 E61:G66 I61:I66 E68:G68 I68 E71:G75 I71:I75 E77:G79 I77:I79 E81:G84 I81:I84 E86:G86 I86 E88:G90 I88:I90">
    <cfRule type="expression" dxfId="159" priority="54">
      <formula>AND(J12&lt;&gt;"-",J12&gt;3)</formula>
    </cfRule>
  </conditionalFormatting>
  <conditionalFormatting sqref="H12:H20 H22:H25 H27:H29 H31:H34 H36:H40 H42:H68 H70:H90">
    <cfRule type="expression" dxfId="158" priority="584">
      <formula>AND(#REF!&lt;&gt;"-",#REF!&gt;3)</formula>
    </cfRule>
  </conditionalFormatting>
  <conditionalFormatting sqref="J12:J15">
    <cfRule type="expression" dxfId="157" priority="1" stopIfTrue="1">
      <formula>AND(#REF!&gt;0,J12="")</formula>
    </cfRule>
    <cfRule type="expression" dxfId="156" priority="2" stopIfTrue="1">
      <formula>(#REF!=0)</formula>
    </cfRule>
  </conditionalFormatting>
  <conditionalFormatting sqref="J16:J20 J28:J29 J81:J84">
    <cfRule type="expression" dxfId="155" priority="98" stopIfTrue="1">
      <formula>(#REF!=0)</formula>
    </cfRule>
    <cfRule type="expression" dxfId="154" priority="97" stopIfTrue="1">
      <formula>AND(#REF!&gt;0,J16="")</formula>
    </cfRule>
  </conditionalFormatting>
  <conditionalFormatting sqref="J16:J20 J28:J29">
    <cfRule type="expression" dxfId="153" priority="88" stopIfTrue="1">
      <formula>(#REF!=0)</formula>
    </cfRule>
  </conditionalFormatting>
  <conditionalFormatting sqref="J19">
    <cfRule type="expression" dxfId="152" priority="84" stopIfTrue="1">
      <formula>(#REF!=0)</formula>
    </cfRule>
    <cfRule type="expression" dxfId="151" priority="83" stopIfTrue="1">
      <formula>AND(#REF!&gt;0,J19="")</formula>
    </cfRule>
  </conditionalFormatting>
  <conditionalFormatting sqref="J22:J25">
    <cfRule type="expression" dxfId="150" priority="90" stopIfTrue="1">
      <formula>(#REF!=0)</formula>
    </cfRule>
    <cfRule type="expression" dxfId="149" priority="89" stopIfTrue="1">
      <formula>AND(#REF!&gt;0,J22="")</formula>
    </cfRule>
  </conditionalFormatting>
  <conditionalFormatting sqref="J27:J29">
    <cfRule type="expression" dxfId="148" priority="86" stopIfTrue="1">
      <formula>(#REF!=0)</formula>
    </cfRule>
    <cfRule type="expression" dxfId="147" priority="85" stopIfTrue="1">
      <formula>AND(#REF!&gt;0,J27="")</formula>
    </cfRule>
  </conditionalFormatting>
  <conditionalFormatting sqref="J28:J29 J16:J20">
    <cfRule type="expression" dxfId="146" priority="87" stopIfTrue="1">
      <formula>AND(#REF!&gt;0,J16="")</formula>
    </cfRule>
  </conditionalFormatting>
  <conditionalFormatting sqref="J31">
    <cfRule type="expression" dxfId="145" priority="26" stopIfTrue="1">
      <formula>(#REF!=0)</formula>
    </cfRule>
    <cfRule type="expression" dxfId="144" priority="27" stopIfTrue="1">
      <formula>AND(#REF!&gt;0,J31="")</formula>
    </cfRule>
  </conditionalFormatting>
  <conditionalFormatting sqref="J31:J34">
    <cfRule type="expression" dxfId="143" priority="28" stopIfTrue="1">
      <formula>(#REF!=0)</formula>
    </cfRule>
    <cfRule type="expression" dxfId="142" priority="25" stopIfTrue="1">
      <formula>AND(#REF!&gt;0,J31="")</formula>
    </cfRule>
  </conditionalFormatting>
  <conditionalFormatting sqref="J36:J40 J48:J51 J59:J68 J75:J76 J84">
    <cfRule type="expression" dxfId="141" priority="106" stopIfTrue="1">
      <formula>(#REF!=0)</formula>
    </cfRule>
  </conditionalFormatting>
  <conditionalFormatting sqref="J42:J68">
    <cfRule type="expression" dxfId="140" priority="100" stopIfTrue="1">
      <formula>(#REF!=0)</formula>
    </cfRule>
    <cfRule type="expression" dxfId="139" priority="99" stopIfTrue="1">
      <formula>AND(#REF!&gt;0,J42="")</formula>
    </cfRule>
  </conditionalFormatting>
  <conditionalFormatting sqref="J45:J46">
    <cfRule type="expression" dxfId="138" priority="108" stopIfTrue="1">
      <formula>(#REF!=0)</formula>
    </cfRule>
    <cfRule type="expression" dxfId="137" priority="107" stopIfTrue="1">
      <formula>AND(#REF!&gt;0,J45="")</formula>
    </cfRule>
  </conditionalFormatting>
  <conditionalFormatting sqref="J53:J68">
    <cfRule type="expression" dxfId="136" priority="103" stopIfTrue="1">
      <formula>AND(#REF!&gt;0,J53="")</formula>
    </cfRule>
    <cfRule type="expression" dxfId="135" priority="104" stopIfTrue="1">
      <formula>(#REF!=0)</formula>
    </cfRule>
  </conditionalFormatting>
  <conditionalFormatting sqref="J59:J68 J48:J51 J84 J75:J76 J36:J40">
    <cfRule type="expression" dxfId="134" priority="105" stopIfTrue="1">
      <formula>AND(#REF!&gt;0,J36="")</formula>
    </cfRule>
  </conditionalFormatting>
  <conditionalFormatting sqref="J61:J66">
    <cfRule type="expression" dxfId="133" priority="80" stopIfTrue="1">
      <formula>(#REF!=0)</formula>
    </cfRule>
    <cfRule type="expression" dxfId="132" priority="79" stopIfTrue="1">
      <formula>AND(#REF!&gt;0,J61="")</formula>
    </cfRule>
  </conditionalFormatting>
  <conditionalFormatting sqref="J68">
    <cfRule type="expression" dxfId="131" priority="78" stopIfTrue="1">
      <formula>(#REF!=0)</formula>
    </cfRule>
    <cfRule type="expression" dxfId="130" priority="77" stopIfTrue="1">
      <formula>AND(#REF!&gt;0,J68="")</formula>
    </cfRule>
  </conditionalFormatting>
  <conditionalFormatting sqref="J70">
    <cfRule type="expression" dxfId="129" priority="7" stopIfTrue="1">
      <formula>AND(#REF!&gt;0,J70="")</formula>
    </cfRule>
    <cfRule type="expression" dxfId="128" priority="8" stopIfTrue="1">
      <formula>(#REF!=0)</formula>
    </cfRule>
    <cfRule type="expression" dxfId="127" priority="12" stopIfTrue="1">
      <formula>(#REF!=0)</formula>
    </cfRule>
    <cfRule type="expression" dxfId="126" priority="11" stopIfTrue="1">
      <formula>AND(#REF!&gt;0,J70="")</formula>
    </cfRule>
    <cfRule type="expression" dxfId="125" priority="10" stopIfTrue="1">
      <formula>(#REF!=0)</formula>
    </cfRule>
    <cfRule type="expression" dxfId="124" priority="9" stopIfTrue="1">
      <formula>AND(#REF!&gt;0,J70="")</formula>
    </cfRule>
  </conditionalFormatting>
  <conditionalFormatting sqref="J71:J75 J77:J86">
    <cfRule type="expression" dxfId="123" priority="109" stopIfTrue="1">
      <formula>AND(#REF!&gt;0,J71="")</formula>
    </cfRule>
    <cfRule type="expression" dxfId="122" priority="110" stopIfTrue="1">
      <formula>(#REF!=0)</formula>
    </cfRule>
  </conditionalFormatting>
  <conditionalFormatting sqref="J76">
    <cfRule type="expression" dxfId="121" priority="16" stopIfTrue="1">
      <formula>(#REF!=0)</formula>
    </cfRule>
    <cfRule type="expression" dxfId="120" priority="15" stopIfTrue="1">
      <formula>AND(#REF!&gt;0,J76="")</formula>
    </cfRule>
    <cfRule type="expression" dxfId="119" priority="14" stopIfTrue="1">
      <formula>(#REF!=0)</formula>
    </cfRule>
    <cfRule type="expression" dxfId="118" priority="13" stopIfTrue="1">
      <formula>AND(#REF!&gt;0,J76="")</formula>
    </cfRule>
  </conditionalFormatting>
  <conditionalFormatting sqref="J86:J90">
    <cfRule type="expression" dxfId="117" priority="18" stopIfTrue="1">
      <formula>(#REF!=0)</formula>
    </cfRule>
    <cfRule type="expression" dxfId="116" priority="17" stopIfTrue="1">
      <formula>AND(#REF!&gt;0,J86="")</formula>
    </cfRule>
  </conditionalFormatting>
  <dataValidations count="2">
    <dataValidation allowBlank="1" showErrorMessage="1" sqref="HY19 RU19 ABQ19 ALM19 AVI19 BFE19 BPA19 BYW19 CIS19 CSO19 DCK19 DMG19 DWC19 EFY19 EPU19 EZQ19 FJM19 FTI19 GDE19 GNA19 GWW19 HGS19 HQO19 IAK19 IKG19 IUC19 JDY19 JNU19 JXQ19 KHM19 KRI19 LBE19 LLA19 LUW19 MES19 MOO19 MYK19 NIG19 NSC19 OBY19 OLU19 OVQ19 PFM19 PPI19 PZE19 QJA19 QSW19 RCS19 RMO19 RWK19 SGG19 SQC19 SZY19 TJU19 TTQ19 UDM19 UNI19 UXE19 VHA19 VQW19 WAS19 WKO19 HY90 RU90 ABQ90 ALM90 AVI90 BFE90 BPA90 BYW90 CIS90 CSO90 DCK90 DMG90 DWC90 EFY90 EPU90 EZQ90 FJM90 FTI90 GDE90 GNA90 GWW90 HGS90 HQO90 IAK90 IKG90 IUC90 JDY90 JNU90 JXQ90 KHM90 KRI90 LBE90 LLA90 LUW90 MES90 MOO90 MYK90 NIG90 NSC90 OBY90 OLU90 OVQ90 PFM90 PPI90 PZE90 QJA90 QSW90 RCS90 RMO90 RWK90 SGG90 SQC90 SZY90 TJU90 TTQ90 UDM90 UNI90 UXE90 VHA90 VQW90 WAS90 WKO90 HW19 RS19 ABO19 ALK19 AVG19 BFC19 BOY19 BYU19 CIQ19 CSM19 DCI19 DME19 DWA19 EFW19 EPS19 EZO19 FJK19 FTG19 GDC19 GMY19 GWU19 HGQ19 HQM19 IAI19 IKE19 IUA19 JDW19 JNS19 JXO19 KHK19 KRG19 LBC19 LKY19 LUU19 MEQ19 MOM19 MYI19 NIE19 NSA19 OBW19 OLS19 OVO19 PFK19 PPG19 PZC19 QIY19 QSU19 RCQ19 RMM19 RWI19 SGE19 SQA19 SZW19 TJS19 TTO19 UDK19 UNG19 UXC19 VGY19 VQU19 WAQ19 WKM19 HW90 RS90 ABO90 ALK90 AVG90 BFC90 BOY90 BYU90 CIQ90 CSM90 DCI90 DME90 DWA90 EFW90 EPS90 EZO90 FJK90 FTG90 GDC90 GMY90 GWU90 HGQ90 HQM90 IAI90 IKE90 IUA90 JDW90 JNS90 JXO90 KHK90 KRG90 LBC90 LKY90 LUU90 MEQ90 MOM90 MYI90 NIE90 NSA90 OBW90 OLS90 OVO90 PFK90 PPG90 PZC90 QIY90 QSU90 RCQ90 RMM90 RWI90 SGE90 SQA90 SZW90 TJS90 TTO90 UDK90 UNG90 UXC90 VGY90 VQU90 WAQ90 WKM90 HY72 RU72 ABQ72 ALM72 AVI72 BFE72 BPA72 BYW72 CIS72 CSO72 DCK72 DMG72 DWC72 EFY72 EPU72 EZQ72 FJM72 FTI72 GDE72 GNA72 GWW72 HGS72 HQO72 IAK72 IKG72 IUC72 JDY72 JNU72 JXQ72 KHM72 KRI72 LBE72 LLA72 LUW72 MES72 MOO72 MYK72 NIG72 NSC72 OBY72 OLU72 OVQ72 PFM72 PPI72 PZE72 QJA72 QSW72 RCS72 RMO72 RWK72 SGG72 SQC72 SZY72 TJU72 TTQ72 UDM72 UNI72 UXE72 VHA72 VQW72 WAS72 WKO72 RS75:RS76 ABO75:ABO76 ALK75:ALK76 AVG75:AVG76 BFC75:BFC76 BOY75:BOY76 BYU75:BYU76 CIQ75:CIQ76 CSM75:CSM76 DCI75:DCI76 DME75:DME76 DWA75:DWA76 EFW75:EFW76 EPS75:EPS76 EZO75:EZO76 FJK75:FJK76 FTG75:FTG76 GDC75:GDC76 GMY75:GMY76 GWU75:GWU76 HGQ75:HGQ76 HQM75:HQM76 IAI75:IAI76 IKE75:IKE76 IUA75:IUA76 JDW75:JDW76 JNS75:JNS76 JXO75:JXO76 KHK75:KHK76 KRG75:KRG76 LBC75:LBC76 LKY75:LKY76 LUU75:LUU76 MEQ75:MEQ76 MOM75:MOM76 MYI75:MYI76 NIE75:NIE76 NSA75:NSA76 OBW75:OBW76 OLS75:OLS76 OVO75:OVO76 PFK75:PFK76 PPG75:PPG76 PZC75:PZC76 QIY75:QIY76 QSU75:QSU76 RCQ75:RCQ76 RMM75:RMM76 RWI75:RWI76 SGE75:SGE76 SQA75:SQA76 SZW75:SZW76 TJS75:TJS76 TTO75:TTO76 UDK75:UDK76 UNG75:UNG76 UXC75:UXC76 VGY75:VGY76 VQU75:VQU76 WAQ75:WAQ76 WKM75:WKM76 HW72 RS72 ABO72 ALK72 AVG72 BFC72 BOY72 BYU72 CIQ72 CSM72 DCI72 DME72 DWA72 EFW72 EPS72 EZO72 FJK72 FTG72 GDC72 GMY72 GWU72 HGQ72 HQM72 IAI72 IKE72 IUA72 JDW72 JNS72 JXO72 KHK72 KRG72 LBC72 LKY72 LUU72 MEQ72 MOM72 MYI72 NIE72 NSA72 OBW72 OLS72 OVO72 PFK72 PPG72 PZC72 QIY72 QSU72 RCQ72 RMM72 RWI72 SGE72 SQA72 SZW72 TJS72 TTO72 UDK72 UNG72 UXC72 VGY72 VQU72 WAQ72 WKM72 WKO42:WKO68 WAS42:WAS68 VQW42:VQW68 VHA42:VHA68 UXE42:UXE68 UNI42:UNI68 UDM42:UDM68 TTQ42:TTQ68 TJU42:TJU68 SZY42:SZY68 SQC42:SQC68 SGG42:SGG68 RWK42:RWK68 RMO42:RMO68 RCS42:RCS68 QSW42:QSW68 QJA42:QJA68 PZE42:PZE68 PPI42:PPI68 PFM42:PFM68 OVQ42:OVQ68 OLU42:OLU68 OBY42:OBY68 NSC42:NSC68 NIG42:NIG68 MYK42:MYK68 MOO42:MOO68 MES42:MES68 LUW42:LUW68 LLA42:LLA68 LBE42:LBE68 KRI42:KRI68 KHM42:KHM68 JXQ42:JXQ68 JNU42:JNU68 JDY42:JDY68 IUC42:IUC68 IKG42:IKG68 IAK42:IAK68 HQO42:HQO68 HGS42:HGS68 GWW42:GWW68 GNA42:GNA68 GDE42:GDE68 FTI42:FTI68 FJM42:FJM68 EZQ42:EZQ68 EPU42:EPU68 EFY42:EFY68 DWC42:DWC68 DMG42:DMG68 DCK42:DCK68 CSO42:CSO68 CIS42:CIS68 BYW42:BYW68 BPA42:BPA68 BFE42:BFE68 AVI42:AVI68 ALM42:ALM68 ABQ42:ABQ68 RU42:RU68 HY42:HY68 WKM42:WKM68 WAQ42:WAQ68 VQU42:VQU68 VGY42:VGY68 UXC42:UXC68 UNG42:UNG68 UDK42:UDK68 TTO42:TTO68 TJS42:TJS68 SZW42:SZW68 SQA42:SQA68 SGE42:SGE68 RWI42:RWI68 RMM42:RMM68 RCQ42:RCQ68 QSU42:QSU68 QIY42:QIY68 PZC42:PZC68 PPG42:PPG68 PFK42:PFK68 OVO42:OVO68 OLS42:OLS68 OBW42:OBW68 NSA42:NSA68 NIE42:NIE68 MYI42:MYI68 MOM42:MOM68 MEQ42:MEQ68 LUU42:LUU68 LKY42:LKY68 LBC42:LBC68 KRG42:KRG68 KHK42:KHK68 JXO42:JXO68 JNS42:JNS68 JDW42:JDW68 IUA42:IUA68 IKE42:IKE68 IAI42:IAI68 HQM42:HQM68 HGQ42:HGQ68 GWU42:GWU68 GMY42:GMY68 GDC42:GDC68 FTG42:FTG68 FJK42:FJK68 EZO42:EZO68 EPS42:EPS68 EFW42:EFW68 DWA42:DWA68 DME42:DME68 DCI42:DCI68 CSM42:CSM68 CIQ42:CIQ68 BYU42:BYU68 BOY42:BOY68 BFC42:BFC68 AVG42:AVG68 ALK42:ALK68 ABO42:ABO68 RS42:RS68 HW42:HW68 HW70:HY70 WKM32:WKO34 WKM70:WKO70 WAQ32:WAS34 WAQ70:WAS70 VQU32:VQW34 VQU70:VQW70 VGY32:VHA34 VGY70:VHA70 UXC32:UXE34 UXC70:UXE70 UNG32:UNI34 UNG70:UNI70 UDK32:UDM34 UDK70:UDM70 TTO32:TTQ34 TTO70:TTQ70 TJS32:TJU34 TJS70:TJU70 SZW32:SZY34 SZW70:SZY70 SQA32:SQC34 SQA70:SQC70 SGE32:SGG34 SGE70:SGG70 RWI32:RWK34 RWI70:RWK70 RMM32:RMO34 RMM70:RMO70 RCQ32:RCS34 RCQ70:RCS70 QSU32:QSW34 QSU70:QSW70 QIY32:QJA34 QIY70:QJA70 PZC32:PZE34 PZC70:PZE70 PPG32:PPI34 PPG70:PPI70 PFK32:PFM34 PFK70:PFM70 OVO32:OVQ34 OVO70:OVQ70 OLS32:OLU34 OLS70:OLU70 OBW32:OBY34 OBW70:OBY70 NSA32:NSC34 NSA70:NSC70 NIE32:NIG34 NIE70:NIG70 MYI32:MYK34 MYI70:MYK70 MOM32:MOO34 MOM70:MOO70 MEQ32:MES34 MEQ70:MES70 LUU32:LUW34 LUU70:LUW70 LKY32:LLA34 LKY70:LLA70 LBC32:LBE34 LBC70:LBE70 KRG32:KRI34 KRG70:KRI70 KHK32:KHM34 KHK70:KHM70 JXO32:JXQ34 JXO70:JXQ70 JNS32:JNU34 JNS70:JNU70 JDW32:JDY34 JDW70:JDY70 IUA32:IUC34 IUA70:IUC70 IKE32:IKG34 IKE70:IKG70 IAI32:IAK34 IAI70:IAK70 HQM32:HQO34 HQM70:HQO70 HGQ32:HGS34 HGQ70:HGS70 GWU32:GWW34 GWU70:GWW70 GMY32:GNA34 GMY70:GNA70 GDC32:GDE34 GDC70:GDE70 FTG32:FTI34 FTG70:FTI70 FJK32:FJM34 FJK70:FJM70 EZO32:EZQ34 EZO70:EZQ70 EPS32:EPU34 EPS70:EPU70 EFW32:EFY34 EFW70:EFY70 DWA32:DWC34 DWA70:DWC70 DME32:DMG34 DME70:DMG70 DCI32:DCK34 DCI70:DCK70 CSM32:CSO34 CSM70:CSO70 CIQ32:CIS34 CIQ70:CIS70 BYU32:BYW34 BYU70:BYW70 BOY32:BPA34 BOY70:BPA70 BFC32:BFE34 BFC70:BFE70 AVG32:AVI34 AVG70:AVI70 ALK32:ALM34 ALK70:ALM70 ABO32:ABQ34 ABO70:ABQ70 RS32:RU34 RS70:RU70 HW32:HY34 L27:L29 L22:L25 O22:O25 J22:J25 M20:M27 HY87 O19:O20 J27:J29 J31:J34 M35:N39 O36:O39 L36:L39 J42:J68 L42:L68 O32:O34 O88:O90 L40:O40 J36:J40 M30:N31 O29 HW75:HW76 WKO76 WAS76 VQW76 VHA76 UXE76 UNI76 UDM76 TTQ76 TJU76 SZY76 SQC76 SGG76 RWK76 RMO76 RCS76 QSW76 QJA76 PZE76 PPI76 PFM76 OVQ76 OLU76 OBY76 NSC76 NIG76 MYK76 MOO76 MES76 LUW76 LLA76 LBE76 KRI76 KHM76 JXQ76 JNU76 JDY76 IUC76 IKG76 IAK76 HQO76 HGS76 GWW76 GNA76 GDE76 FTI76 FJM76 EZQ76 EPU76 EFY76 DWC76 DMG76 DCK76 CSO76 CIS76 BYW76 BPA76 BFE76 AVI76 ALM76 ABQ76 RU76 HY76 M88:N92 N68:O68 HX33:HX92 RT33:RT92 ABP33:ABP92 ALL33:ALL92 AVH33:AVH92 BFD33:BFD92 BOZ33:BOZ92 BYV33:BYV92 CIR33:CIR92 CSN33:CSN92 DCJ33:DCJ92 DMF33:DMF92 DWB33:DWB92 EFX33:EFX92 EPT33:EPT92 EZP33:EZP92 FJL33:FJL92 FTH33:FTH92 GDD33:GDD92 GMZ33:GMZ92 GWV33:GWV92 HGR33:HGR92 HQN33:HQN92 IAJ33:IAJ92 IKF33:IKF92 IUB33:IUB92 JDX33:JDX92 JNT33:JNT92 JXP33:JXP92 KHL33:KHL92 KRH33:KRH92 LBD33:LBD92 LKZ33:LKZ92 LUV33:LUV92 MER33:MER92 MON33:MON92 MYJ33:MYJ92 NIF33:NIF92 NSB33:NSB92 OBX33:OBX92 OLT33:OLT92 OVP33:OVP92 PFL33:PFL92 PPH33:PPH92 PZD33:PZD92 QIZ33:QIZ92 QSV33:QSV92 RCR33:RCR92 RMN33:RMN92 RWJ33:RWJ92 SGF33:SGF92 SQB33:SQB92 SZX33:SZX92 TJT33:TJT92 TTP33:TTP92 UDL33:UDL92 UNH33:UNH92 UXD33:UXD92 VGZ33:VGZ92 VQV33:VQV92 WAR33:WAR92 WKN33:WKN92 RS87 ABO87 ALK87 AVG87 BFC87 BOY87 BYU87 CIQ87 CSM87 DCI87 DME87 DWA87 EFW87 EPS87 EZO87 FJK87 FTG87 GDC87 GMY87 GWU87 HGQ87 HQM87 IAI87 IKE87 IUA87 JDW87 JNS87 JXO87 KHK87 KRG87 LBC87 LKY87 LUU87 MEQ87 MOM87 MYI87 NIE87 NSA87 OBW87 OLS87 OVO87 PFK87 PPG87 PZC87 QIY87 QSU87 RCQ87 RMM87 RWI87 SGE87 SQA87 SZW87 TJS87 TTO87 UDK87 UNG87 UXC87 VGY87 VQU87 WAQ87 WKM87 HW87 WKO87 WAS87 VQW87 VHA87 UXE87 UNI87 UDM87 TTQ87 TJU87 SZY87 SQC87 SGG87 RWK87 RMO87 RCS87 QSW87 QJA87 PZE87 PPI87 PFM87 OVQ87 OLU87 OBY87 NSC87 NIG87 MYK87 MOO87 MES87 LUW87 LLA87 LBE87 KRI87 KHM87 JXQ87 JNU87 JDY87 IUC87 IKG87 IAK87 HQO87 HGS87 GWW87 GNA87 GDE87 FTI87 FJM87 EZQ87 EPU87 EFY87 DWC87 DMG87 DCK87 CSO87 CIS87 BYW87 BPA87 BFE87 AVI87 ALM87 ABQ87 RU87 L15:N20 L28:N29 N20:N29 O27 L31:N34 O42:O43 O45:O46 O48:O51 O53:O59 O61:O66 J70:J91 L76:N90 O77:O79 O81:O84 O86 M41:N69 L71:O75 L70:N70 J12:J20 O12:O17 WAR11:WAR31 VQV11:VQV31 VGZ11:VGZ31 UXD11:UXD31 UNH11:UNH31 UDL11:UDL31 TTP11:TTP31 TJT11:TJT31 SZX11:SZX31 SQB11:SQB31 SGF11:SGF31 RWJ11:RWJ31 RMN11:RMN31 RCR11:RCR31 QSV11:QSV31 QIZ11:QIZ31 PZD11:PZD31 PPH11:PPH31 PFL11:PFL31 OVP11:OVP31 OLT11:OLT31 OBX11:OBX31 NSB11:NSB31 NIF11:NIF31 MYJ11:MYJ31 MON11:MON31 MER11:MER31 LUV11:LUV31 LKZ11:LKZ31 LBD11:LBD31 KRH11:KRH31 KHL11:KHL31 JXP11:JXP31 JNT11:JNT31 JDX11:JDX31 IUB11:IUB31 IKF11:IKF31 IAJ11:IAJ31 HQN11:HQN31 HGR11:HGR31 GWV11:GWV31 GMZ11:GMZ31 GDD11:GDD31 FTH11:FTH31 FJL11:FJL31 EZP11:EZP31 EPT11:EPT31 EFX11:EFX31 DWB11:DWB31 DMF11:DMF31 DCJ11:DCJ31 CSN11:CSN31 CIR11:CIR31 BYV11:BYV31 BOZ11:BOZ31 BFD11:BFD31 AVH11:AVH31 ALL11:ALL31 ABP11:ABP31 RT11:RT31 HX11:HX31 WKN11:WKN31 WAH11:WAJ92 VQL11:VQN92 VGP11:VGR92 UWT11:UWV92 UMX11:UMZ92 UDB11:UDD92 TTF11:TTH92 TJJ11:TJL92 SZN11:SZP92 SPR11:SPT92 SFV11:SFX92 RVZ11:RWB92 RMD11:RMF92 RCH11:RCJ92 QSL11:QSN92 QIP11:QIR92 PYT11:PYV92 POX11:POZ92 PFB11:PFD92 OVF11:OVH92 OLJ11:OLL92 OBN11:OBP92 NRR11:NRT92 NHV11:NHX92 MXZ11:MYB92 MOD11:MOF92 MEH11:MEJ92 LUL11:LUN92 LKP11:LKR92 LAT11:LAV92 KQX11:KQZ92 KHB11:KHD92 JXF11:JXH92 JNJ11:JNL92 JDN11:JDP92 ITR11:ITT92 IJV11:IJX92 HZZ11:IAB92 HQD11:HQF92 HGH11:HGJ92 GWL11:GWN92 GMP11:GMR92 GCT11:GCV92 FSX11:FSZ92 FJB11:FJD92 EZF11:EZH92 EPJ11:EPL92 EFN11:EFP92 DVR11:DVT92 DLV11:DLX92 DBZ11:DCB92 CSD11:CSF92 CIH11:CIJ92 BYL11:BYN92 BOP11:BOR92 BET11:BEV92 AUX11:AUZ92 ALB11:ALD92 ABF11:ABH92 RJ11:RL92 HN11:HP92 WKD11:WKF92 L12:L19 M11:N19" xr:uid="{00000000-0002-0000-04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VGT81 TTJ81 WAL81 UDF81 HR89 RN89 ABJ89 ALF89 AVB89 BEX89 BOT89 BYP89 CIL89 CSH89 DCD89 DLZ89 DVV89 EFR89 EPN89 EZJ89 FJF89 FTB89 GCX89 GMT89 GWP89 HGL89 HQH89 IAD89 IJZ89 ITV89 JDR89 JNN89 JXJ89 KHF89 KRB89 LAX89 LKT89 LUP89 MEL89 MOH89 MYD89 NHZ89 NRV89 OBR89 OLN89 OVJ89 PFF89 PPB89 PYX89 QIT89 QSP89 RCL89 RMH89 RWD89 SFZ89 SPV89 SZR89 TJN89 TTJ89 UDF89 UNB89 UWX89 VGT89 VQP89 WAL89 WKH89 VQP81 UNB81 HR60:HR67 RN60:RN67 ABJ60:ABJ67 ALF60:ALF67 AVB60:AVB67 BEX60:BEX67 BOT60:BOT67 BYP60:BYP67 CIL60:CIL67 CSH60:CSH67 DCD60:DCD67 DLZ60:DLZ67 DVV60:DVV67 EFR60:EFR67 EPN60:EPN67 EZJ60:EZJ67 FJF60:FJF67 FTB60:FTB67 GCX60:GCX67 GMT60:GMT67 GWP60:GWP67 HGL60:HGL67 HQH60:HQH67 IAD60:IAD67 IJZ60:IJZ67 ITV60:ITV67 JDR60:JDR67 JNN60:JNN67 JXJ60:JXJ67 KHF60:KHF67 KRB60:KRB67 LAX60:LAX67 LKT60:LKT67 LUP60:LUP67 MEL60:MEL67 MOH60:MOH67 MYD60:MYD67 NHZ60:NHZ67 NRV60:NRV67 OBR60:OBR67 OLN60:OLN67 OVJ60:OVJ67 PFF60:PFF67 PPB60:PPB67 PYX60:PYX67 QIT60:QIT67 QSP60:QSP67 RCL60:RCL67 RMH60:RMH67 RWD60:RWD67 SFZ60:SFZ67 SPV60:SPV67 SZR60:SZR67 TJN60:TJN67 TTJ60:TTJ67 UDF60:UDF67 UNB60:UNB67 UWX60:UWX67 VGT60:VGT67 VQP60:VQP67 WAL60:WAL67 WKH60:WKH67 WKH81 UWX81 HR81 RN81 ABJ81 ALF81 AVB81 BEX81 BOT81 BYP81 CIL81 CSH81 DCD81 DLZ81 DVV81 EFR81 EPN81 EZJ81 FJF81 FTB81 GCX81 GMT81 GWP81 HGL81 HQH81 IAD81 IJZ81 ITV81 JDR81 JNN81 JXJ81 KHF81 KRB81 LAX81 LKT81 LUP81 MEL81 MOH81 MYD81 NHZ81 NRV81 OBR81 OLN81 OVJ81 PFF81 PPB81 PYX81 QIT81 QSP81 RCL81 RMH81 RWD81 SFZ81 SPV81 SZR81 TJN81 WKH21:WKH26 WAL21:WAL26 VQP21:VQP26 VGT21:VGT26 UWX21:UWX26 UNB21:UNB26 UDF21:UDF26 TTJ21:TTJ26 TJN21:TJN26 SZR21:SZR26 SPV21:SPV26 SFZ21:SFZ26 RWD21:RWD26 RMH21:RMH26 RCL21:RCL26 QSP21:QSP26 QIT21:QIT26 PYX21:PYX26 PPB21:PPB26 PFF21:PFF26 OVJ21:OVJ26 OLN21:OLN26 OBR21:OBR26 NRV21:NRV26 NHZ21:NHZ26 MYD21:MYD26 MOH21:MOH26 MEL21:MEL26 LUP21:LUP26 LKT21:LKT26 LAX21:LAX26 KRB21:KRB26 KHF21:KHF26 JXJ21:JXJ26 JNN21:JNN26 JDR21:JDR26 ITV21:ITV26 IJZ21:IJZ26 IAD21:IAD26 HQH21:HQH26 HGL21:HGL26 GWP21:GWP26 GMT21:GMT26 GCX21:GCX26 FTB21:FTB26 FJF21:FJF26 EZJ21:EZJ26 EPN21:EPN26 EFR21:EFR26 DVV21:DVV26 DLZ21:DLZ26 DCD21:DCD26 CSH21:CSH26 CIL21:CIL26 BYP21:BYP26 BOT21:BOT26 BEX21:BEX26 AVB21:AVB26 ALF21:ALF26 ABJ21:ABJ26 RN21:RN26 HR21:HR26" xr:uid="{00000000-0002-0000-0400-000001000000}">
      <formula1>0</formula1>
      <formula2>5</formula2>
    </dataValidation>
  </dataValidations>
  <printOptions horizontalCentered="1"/>
  <pageMargins left="0.7" right="0.7" top="0.75" bottom="0.75" header="0.3" footer="0.3"/>
  <pageSetup paperSize="9" scale="78" fitToHeight="0" orientation="portrait" r:id="rId1"/>
  <headerFooter alignWithMargins="0">
    <oddHeader>&amp;L&amp;F&amp;R&amp;A</oddHeader>
    <oddFooter>&amp;C&amp;P/&amp;N</oddFooter>
  </headerFooter>
  <rowBreaks count="1" manualBreakCount="1">
    <brk id="5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90AF-141C-43DC-8102-C1B8A3649941}">
  <sheetPr>
    <pageSetUpPr fitToPage="1"/>
  </sheetPr>
  <dimension ref="A1:P179"/>
  <sheetViews>
    <sheetView showGridLines="0" topLeftCell="B155" zoomScale="120" zoomScaleNormal="120" workbookViewId="0">
      <selection activeCell="F157" sqref="F157:J157"/>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8.875"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810</v>
      </c>
      <c r="C3" s="389"/>
      <c r="F3" s="388"/>
      <c r="G3" s="390"/>
      <c r="H3" s="391" t="s">
        <v>230</v>
      </c>
      <c r="K3" s="386"/>
      <c r="L3" t="s">
        <v>131</v>
      </c>
      <c r="N3" s="461" t="s">
        <v>260</v>
      </c>
    </row>
    <row r="4" spans="1:16" ht="8.4499999999999993" customHeight="1">
      <c r="A4" s="461"/>
      <c r="B4" s="724"/>
      <c r="C4" s="389"/>
      <c r="F4" s="388"/>
      <c r="G4" s="388"/>
      <c r="H4" s="388"/>
      <c r="I4" s="388"/>
      <c r="J4" s="388"/>
      <c r="K4" s="386"/>
      <c r="M4" t="s">
        <v>155</v>
      </c>
      <c r="N4" t="s">
        <v>156</v>
      </c>
    </row>
    <row r="5" spans="1:16" ht="15">
      <c r="B5" s="726">
        <v>1</v>
      </c>
      <c r="C5" s="725" t="s">
        <v>422</v>
      </c>
    </row>
    <row r="6" spans="1:16" ht="15">
      <c r="B6" s="726">
        <v>1.1000000000000001</v>
      </c>
      <c r="C6" s="725" t="s">
        <v>504</v>
      </c>
      <c r="L6">
        <v>1</v>
      </c>
      <c r="M6" t="s">
        <v>113</v>
      </c>
      <c r="N6" t="s">
        <v>114</v>
      </c>
      <c r="O6" s="461"/>
      <c r="P6" s="461"/>
    </row>
    <row r="7" spans="1:16" ht="15.75" thickBot="1">
      <c r="B7" s="726"/>
      <c r="C7" s="725"/>
      <c r="D7" s="723" t="s">
        <v>815</v>
      </c>
      <c r="J7" s="753" t="str">
        <f>IF(J8=0,$L$3,"")</f>
        <v/>
      </c>
      <c r="L7">
        <v>2</v>
      </c>
      <c r="M7" t="s">
        <v>124</v>
      </c>
      <c r="N7" t="s">
        <v>125</v>
      </c>
      <c r="O7" s="461"/>
      <c r="P7" s="461"/>
    </row>
    <row r="8" spans="1:16" ht="39" hidden="1" customHeight="1" thickBot="1">
      <c r="A8" s="461"/>
      <c r="D8" s="392"/>
      <c r="E8" s="393"/>
      <c r="F8" s="394"/>
      <c r="G8" s="394"/>
      <c r="H8" s="395" t="s">
        <v>480</v>
      </c>
      <c r="I8" s="395"/>
      <c r="J8" s="396">
        <f>スコア!M12</f>
        <v>1</v>
      </c>
      <c r="L8">
        <v>3</v>
      </c>
      <c r="M8" t="s">
        <v>126</v>
      </c>
      <c r="N8" t="s">
        <v>127</v>
      </c>
      <c r="O8" s="461"/>
      <c r="P8" s="461"/>
    </row>
    <row r="9" spans="1:16" ht="14.25" thickBot="1">
      <c r="A9" s="461"/>
      <c r="D9" s="397">
        <v>3</v>
      </c>
      <c r="E9" s="436" t="s">
        <v>351</v>
      </c>
      <c r="F9" s="404"/>
      <c r="G9" s="404"/>
      <c r="H9" s="404"/>
      <c r="I9" s="404"/>
      <c r="J9" s="405"/>
      <c r="L9">
        <v>4</v>
      </c>
      <c r="M9" t="s">
        <v>116</v>
      </c>
      <c r="N9" t="s">
        <v>117</v>
      </c>
      <c r="O9" s="461"/>
      <c r="P9" s="461"/>
    </row>
    <row r="10" spans="1:16">
      <c r="A10" s="1">
        <v>1</v>
      </c>
      <c r="D10" s="450" t="str">
        <f>IF(D9=$L$11,$M$6,IF(ROUNDDOWN(D9,0)=$L$6,$N$6,$M$6))</f>
        <v>　レベル　1</v>
      </c>
      <c r="E10" s="667" t="s">
        <v>604</v>
      </c>
      <c r="F10" s="473"/>
      <c r="G10" s="473"/>
      <c r="H10" s="473"/>
      <c r="I10" s="473"/>
      <c r="J10" s="408"/>
      <c r="L10">
        <v>5</v>
      </c>
      <c r="M10" t="s">
        <v>119</v>
      </c>
      <c r="N10" t="s">
        <v>120</v>
      </c>
      <c r="O10" s="461"/>
      <c r="P10" s="461"/>
    </row>
    <row r="11" spans="1:16">
      <c r="A11" s="1" t="s">
        <v>440</v>
      </c>
      <c r="D11" s="398" t="str">
        <f>IF(D9=$L$11,$M$7,IF(ROUNDDOWN(D9,0)=$L$7,$N$7,$M$7))</f>
        <v>　レベル　2</v>
      </c>
      <c r="E11" s="668" t="s">
        <v>144</v>
      </c>
      <c r="F11" s="472"/>
      <c r="G11" s="472"/>
      <c r="H11" s="472"/>
      <c r="I11" s="472"/>
      <c r="J11" s="475"/>
      <c r="L11">
        <v>0</v>
      </c>
      <c r="M11" t="s">
        <v>115</v>
      </c>
      <c r="N11" t="s">
        <v>115</v>
      </c>
      <c r="O11" s="461"/>
      <c r="P11" s="461"/>
    </row>
    <row r="12" spans="1:16">
      <c r="A12" s="1">
        <v>3</v>
      </c>
      <c r="D12" s="398" t="str">
        <f>IF(D9=$L$11,$M$8,IF(ROUNDDOWN(D9,0)=$L$8,$N$8,$M$8))</f>
        <v>■レベル　3</v>
      </c>
      <c r="E12" s="668" t="s">
        <v>340</v>
      </c>
      <c r="F12" s="472"/>
      <c r="G12" s="472"/>
      <c r="H12" s="472"/>
      <c r="I12" s="472"/>
      <c r="J12" s="475"/>
    </row>
    <row r="13" spans="1:16">
      <c r="A13" s="1">
        <v>4</v>
      </c>
      <c r="D13" s="398" t="str">
        <f>IF(D9=$L$11,$M$9,IF(ROUNDDOWN(D9,0)=$L$9,$N$9,$M$9))</f>
        <v>　レベル　4</v>
      </c>
      <c r="E13" s="668" t="s">
        <v>339</v>
      </c>
      <c r="F13" s="472"/>
      <c r="G13" s="472"/>
      <c r="H13" s="472"/>
      <c r="I13" s="472"/>
      <c r="J13" s="475"/>
    </row>
    <row r="14" spans="1:16">
      <c r="A14" s="1">
        <v>5</v>
      </c>
      <c r="D14" s="399" t="str">
        <f>IF(D9=$L$11,$M$10,IF(ROUNDDOWN(D9,0)=$L$10,$N$10,$M$10))</f>
        <v>　レベル　5</v>
      </c>
      <c r="E14" s="650" t="s">
        <v>338</v>
      </c>
      <c r="F14" s="474"/>
      <c r="G14" s="474"/>
      <c r="H14" s="474"/>
      <c r="I14" s="474"/>
      <c r="J14" s="409"/>
    </row>
    <row r="15" spans="1:16">
      <c r="A15" s="1" t="s">
        <v>440</v>
      </c>
    </row>
    <row r="16" spans="1:16" ht="15.75" thickBot="1">
      <c r="B16" s="726"/>
      <c r="C16" s="725"/>
      <c r="D16" s="723" t="s">
        <v>888</v>
      </c>
      <c r="J16" s="753" t="str">
        <f>IF(J17=0,$L$3,"")</f>
        <v/>
      </c>
    </row>
    <row r="17" spans="1:10" ht="14.25" hidden="1" thickBot="1">
      <c r="A17" s="461"/>
      <c r="D17" s="392"/>
      <c r="E17" s="393"/>
      <c r="F17" s="394"/>
      <c r="G17" s="394"/>
      <c r="H17" s="395" t="s">
        <v>480</v>
      </c>
      <c r="I17" s="395"/>
      <c r="J17" s="396">
        <f>スコア!M13</f>
        <v>1</v>
      </c>
    </row>
    <row r="18" spans="1:10" ht="14.25" thickBot="1">
      <c r="A18" s="461"/>
      <c r="D18" s="397">
        <v>3</v>
      </c>
      <c r="E18" s="436" t="s">
        <v>351</v>
      </c>
      <c r="F18" s="404"/>
      <c r="G18" s="404"/>
      <c r="H18" s="404"/>
      <c r="I18" s="404"/>
      <c r="J18" s="405"/>
    </row>
    <row r="19" spans="1:10">
      <c r="A19" s="1" t="s">
        <v>481</v>
      </c>
      <c r="D19" s="450" t="str">
        <f>IF(D18=$L$11,$M$6,IF(ROUNDDOWN(D18,0)=$L$6,$N$6,$M$6))</f>
        <v>　レベル　1</v>
      </c>
      <c r="E19" s="667" t="s">
        <v>144</v>
      </c>
      <c r="F19" s="473"/>
      <c r="G19" s="473"/>
      <c r="H19" s="473"/>
      <c r="I19" s="473"/>
      <c r="J19" s="408"/>
    </row>
    <row r="20" spans="1:10">
      <c r="A20" s="1" t="s">
        <v>440</v>
      </c>
      <c r="D20" s="398" t="str">
        <f>IF(D18=$L$11,$M$7,IF(ROUNDDOWN(D18,0)=$L$7,$N$7,$M$7))</f>
        <v>　レベル　2</v>
      </c>
      <c r="E20" s="668" t="s">
        <v>144</v>
      </c>
      <c r="F20" s="472"/>
      <c r="G20" s="472"/>
      <c r="H20" s="472"/>
      <c r="I20" s="472"/>
      <c r="J20" s="475"/>
    </row>
    <row r="21" spans="1:10">
      <c r="A21" s="1">
        <v>3</v>
      </c>
      <c r="D21" s="398" t="str">
        <f>IF(D18=$L$11,$M$8,IF(ROUNDDOWN(D18,0)=$L$8,$N$8,$M$8))</f>
        <v>■レベル　3</v>
      </c>
      <c r="E21" s="668" t="s">
        <v>605</v>
      </c>
      <c r="F21" s="472"/>
      <c r="G21" s="472"/>
      <c r="H21" s="472"/>
      <c r="I21" s="472"/>
      <c r="J21" s="475"/>
    </row>
    <row r="22" spans="1:10">
      <c r="A22" s="1">
        <v>4</v>
      </c>
      <c r="D22" s="398" t="str">
        <f>IF(D18=$L$11,$M$9,IF(ROUNDDOWN(D18,0)=$L$9,$N$9,$M$8))</f>
        <v>　レベル　3</v>
      </c>
      <c r="E22" s="668" t="s">
        <v>606</v>
      </c>
      <c r="F22" s="472"/>
      <c r="G22" s="472"/>
      <c r="H22" s="472"/>
      <c r="I22" s="472"/>
      <c r="J22" s="475"/>
    </row>
    <row r="23" spans="1:10">
      <c r="A23" s="1">
        <v>5</v>
      </c>
      <c r="D23" s="399" t="str">
        <f>IF(D18=$L$11,$M$10,IF(ROUNDDOWN(D18,0)=$L$10,$N$10,$M$10))</f>
        <v>　レベル　5</v>
      </c>
      <c r="E23" s="650" t="s">
        <v>607</v>
      </c>
      <c r="F23" s="474"/>
      <c r="G23" s="474"/>
      <c r="H23" s="474"/>
      <c r="I23" s="474"/>
      <c r="J23" s="409"/>
    </row>
    <row r="24" spans="1:10">
      <c r="A24" s="1" t="s">
        <v>440</v>
      </c>
    </row>
    <row r="25" spans="1:10" ht="15">
      <c r="B25" s="726"/>
      <c r="C25" s="725"/>
      <c r="D25" s="723" t="s">
        <v>889</v>
      </c>
      <c r="J25" s="753" t="str">
        <f>IF(J26=0,$L$3,"")</f>
        <v/>
      </c>
    </row>
    <row r="26" spans="1:10" hidden="1">
      <c r="A26" s="461"/>
      <c r="D26" s="392"/>
      <c r="E26" s="393"/>
      <c r="F26" s="394"/>
      <c r="G26" s="394"/>
      <c r="H26" s="395" t="s">
        <v>480</v>
      </c>
      <c r="I26" s="395"/>
      <c r="J26" s="396">
        <f>スコア!M14</f>
        <v>1</v>
      </c>
    </row>
    <row r="27" spans="1:10">
      <c r="A27" s="461"/>
      <c r="D27" s="937">
        <f>D36</f>
        <v>3</v>
      </c>
      <c r="E27" s="436" t="s">
        <v>351</v>
      </c>
      <c r="F27" s="404"/>
      <c r="G27" s="404"/>
      <c r="H27" s="404"/>
      <c r="I27" s="404"/>
      <c r="J27" s="834">
        <f>メイン!C19</f>
        <v>3000</v>
      </c>
    </row>
    <row r="28" spans="1:10">
      <c r="A28" s="461"/>
      <c r="D28" s="938"/>
      <c r="E28" s="504" t="s">
        <v>743</v>
      </c>
      <c r="F28" s="505"/>
      <c r="G28" s="505"/>
      <c r="H28" s="504" t="s">
        <v>337</v>
      </c>
      <c r="I28" s="505"/>
      <c r="J28" s="405"/>
    </row>
    <row r="29" spans="1:10" ht="25.9" customHeight="1">
      <c r="A29" s="1">
        <v>1</v>
      </c>
      <c r="D29" s="398" t="str">
        <f>IF(D27=$L$11,$M$6,IF(ROUNDDOWN(D27,0)=$L$6,$N$6,$M$6))</f>
        <v>　レベル　1</v>
      </c>
      <c r="E29" s="968" t="s">
        <v>987</v>
      </c>
      <c r="F29" s="969"/>
      <c r="G29" s="970"/>
      <c r="H29" s="667" t="s">
        <v>144</v>
      </c>
      <c r="I29" s="473"/>
      <c r="J29" s="408"/>
    </row>
    <row r="30" spans="1:10" ht="25.9" customHeight="1">
      <c r="A30" s="1">
        <v>2</v>
      </c>
      <c r="D30" s="398" t="str">
        <f>IF(D27=$L$11,$M$7,IF(ROUNDDOWN(D27,0)=$L$7,$N$7,$M$7))</f>
        <v>　レベル　2</v>
      </c>
      <c r="E30" s="971" t="s">
        <v>988</v>
      </c>
      <c r="F30" s="972"/>
      <c r="G30" s="973"/>
      <c r="H30" s="971" t="s">
        <v>987</v>
      </c>
      <c r="I30" s="972"/>
      <c r="J30" s="973"/>
    </row>
    <row r="31" spans="1:10" ht="25.9" customHeight="1">
      <c r="A31" s="1">
        <v>3</v>
      </c>
      <c r="D31" s="398" t="str">
        <f>IF(D27=$L$11,$M$8,IF(ROUNDDOWN(D27,0)=$L$8,$N$8,$M$8))</f>
        <v>■レベル　3</v>
      </c>
      <c r="E31" s="971" t="s">
        <v>989</v>
      </c>
      <c r="F31" s="972"/>
      <c r="G31" s="973"/>
      <c r="H31" s="971" t="s">
        <v>992</v>
      </c>
      <c r="I31" s="972"/>
      <c r="J31" s="973"/>
    </row>
    <row r="32" spans="1:10" ht="25.9" customHeight="1">
      <c r="A32" s="1">
        <v>4</v>
      </c>
      <c r="D32" s="398" t="str">
        <f>IF(D27=$L$11,$M$9,IF(ROUNDDOWN(D27,0)=$L$9,$N$9,$M$9))</f>
        <v>　レベル　4</v>
      </c>
      <c r="E32" s="971" t="s">
        <v>990</v>
      </c>
      <c r="F32" s="972"/>
      <c r="G32" s="973"/>
      <c r="H32" s="971" t="s">
        <v>993</v>
      </c>
      <c r="I32" s="972"/>
      <c r="J32" s="973"/>
    </row>
    <row r="33" spans="1:10" ht="25.9" customHeight="1">
      <c r="A33" s="1">
        <v>5</v>
      </c>
      <c r="D33" s="399" t="str">
        <f>IF(D27=$L$11,$M$10,IF(ROUNDDOWN(D27,0)=$L$10,$N$10,$M$10))</f>
        <v>　レベル　5</v>
      </c>
      <c r="E33" s="974" t="s">
        <v>991</v>
      </c>
      <c r="F33" s="975"/>
      <c r="G33" s="976"/>
      <c r="H33" s="974" t="s">
        <v>994</v>
      </c>
      <c r="I33" s="975"/>
      <c r="J33" s="976"/>
    </row>
    <row r="34" spans="1:10" ht="14.25" hidden="1" thickBot="1">
      <c r="A34" s="1" t="s">
        <v>440</v>
      </c>
      <c r="D34" s="397">
        <v>0</v>
      </c>
      <c r="E34" s="730" t="s">
        <v>237</v>
      </c>
      <c r="F34" s="451" t="s">
        <v>259</v>
      </c>
    </row>
    <row r="35" spans="1:10">
      <c r="D35" s="731" t="s">
        <v>816</v>
      </c>
    </row>
    <row r="36" spans="1:10" ht="14.25" thickBot="1">
      <c r="A36" s="461"/>
      <c r="D36" s="611">
        <f>IF(J27&lt;2000,IF(E44&gt;=3,5,IF(E44&gt;=2,4,IF(E44&gt;=1,3,2))),IF(E44&gt;=4,5,IF(E44&gt;=3,4,IF(E44&gt;=2,3,IF(E44&gt;=1,2,1)))))</f>
        <v>3</v>
      </c>
      <c r="E36" s="407" t="s">
        <v>467</v>
      </c>
      <c r="F36" s="616" t="s">
        <v>497</v>
      </c>
      <c r="G36" s="616"/>
      <c r="H36" s="506"/>
      <c r="I36" s="506"/>
      <c r="J36" s="411" t="s">
        <v>406</v>
      </c>
    </row>
    <row r="37" spans="1:10">
      <c r="A37" s="461"/>
      <c r="D37" s="965">
        <v>1</v>
      </c>
      <c r="E37" s="962">
        <v>1</v>
      </c>
      <c r="F37" s="473" t="s">
        <v>995</v>
      </c>
      <c r="G37" s="473"/>
      <c r="H37" s="473"/>
      <c r="I37" s="473"/>
      <c r="J37" s="501">
        <v>1</v>
      </c>
    </row>
    <row r="38" spans="1:10" ht="24.6" customHeight="1">
      <c r="A38" s="461"/>
      <c r="D38" s="966"/>
      <c r="E38" s="963"/>
      <c r="F38" s="956" t="s">
        <v>332</v>
      </c>
      <c r="G38" s="952"/>
      <c r="H38" s="952"/>
      <c r="I38" s="951"/>
      <c r="J38" s="862">
        <v>2</v>
      </c>
    </row>
    <row r="39" spans="1:10" ht="24.6" customHeight="1">
      <c r="A39" s="461"/>
      <c r="D39" s="967"/>
      <c r="E39" s="964"/>
      <c r="F39" s="956" t="s">
        <v>996</v>
      </c>
      <c r="G39" s="952"/>
      <c r="H39" s="952"/>
      <c r="I39" s="951"/>
      <c r="J39" s="862">
        <v>3</v>
      </c>
    </row>
    <row r="40" spans="1:10">
      <c r="A40" s="461"/>
      <c r="D40" s="513"/>
      <c r="E40" s="509">
        <v>2</v>
      </c>
      <c r="F40" s="472" t="s">
        <v>336</v>
      </c>
      <c r="G40" s="472"/>
      <c r="H40" s="472"/>
      <c r="I40" s="472"/>
      <c r="J40" s="502">
        <v>1</v>
      </c>
    </row>
    <row r="41" spans="1:10">
      <c r="A41" s="461"/>
      <c r="D41" s="513"/>
      <c r="E41" s="509">
        <v>3</v>
      </c>
      <c r="F41" s="472" t="s">
        <v>335</v>
      </c>
      <c r="G41" s="472"/>
      <c r="H41" s="472"/>
      <c r="I41" s="472"/>
      <c r="J41" s="502">
        <v>1</v>
      </c>
    </row>
    <row r="42" spans="1:10">
      <c r="A42" s="461"/>
      <c r="D42" s="513"/>
      <c r="E42" s="509">
        <v>4</v>
      </c>
      <c r="F42" s="472" t="s">
        <v>334</v>
      </c>
      <c r="G42" s="472"/>
      <c r="H42" s="472"/>
      <c r="I42" s="472"/>
      <c r="J42" s="502">
        <v>1</v>
      </c>
    </row>
    <row r="43" spans="1:10" ht="14.25" thickBot="1">
      <c r="A43" s="461"/>
      <c r="D43" s="513">
        <v>1</v>
      </c>
      <c r="E43" s="510">
        <v>5</v>
      </c>
      <c r="F43" s="472" t="s">
        <v>333</v>
      </c>
      <c r="G43" s="472"/>
      <c r="H43" s="472"/>
      <c r="I43" s="472"/>
      <c r="J43" s="503">
        <v>1</v>
      </c>
    </row>
    <row r="44" spans="1:10" ht="14.25">
      <c r="A44" s="461"/>
      <c r="D44" s="454" t="s">
        <v>262</v>
      </c>
      <c r="E44" s="515">
        <f>SUM(D37:D43)</f>
        <v>2</v>
      </c>
      <c r="F44" s="452" t="s">
        <v>261</v>
      </c>
      <c r="G44" s="498"/>
      <c r="H44" s="498"/>
      <c r="I44" s="498"/>
      <c r="J44" s="499"/>
    </row>
    <row r="45" spans="1:10">
      <c r="A45" s="461"/>
    </row>
    <row r="46" spans="1:10" ht="15.75" thickBot="1">
      <c r="B46" s="726">
        <v>1.2</v>
      </c>
      <c r="C46" s="725" t="s">
        <v>1021</v>
      </c>
      <c r="D46" s="723"/>
      <c r="J46" s="753" t="str">
        <f>IF(J47=0,$L$3,"")</f>
        <v/>
      </c>
    </row>
    <row r="47" spans="1:10" ht="14.25" hidden="1" thickBot="1">
      <c r="D47" s="392"/>
      <c r="E47" s="393"/>
      <c r="F47" s="394"/>
      <c r="G47" s="394"/>
      <c r="H47" s="395" t="s">
        <v>480</v>
      </c>
      <c r="I47" s="395"/>
      <c r="J47" s="396">
        <f>スコア!M15</f>
        <v>1</v>
      </c>
    </row>
    <row r="48" spans="1:10" ht="14.25" thickBot="1">
      <c r="D48" s="397">
        <v>5</v>
      </c>
      <c r="E48" s="436" t="s">
        <v>351</v>
      </c>
      <c r="F48" s="404"/>
      <c r="G48" s="404"/>
      <c r="H48" s="404"/>
      <c r="I48" s="404"/>
      <c r="J48" s="405"/>
    </row>
    <row r="49" spans="1:10" ht="13.15" customHeight="1">
      <c r="A49" s="1">
        <v>1</v>
      </c>
      <c r="D49" s="450" t="str">
        <f>IF(D48=$L$11,$M$6,IF(ROUNDDOWN(D48,0)=$L$6,$N$6,$M$6))</f>
        <v>　レベル　1</v>
      </c>
      <c r="E49" s="667" t="s">
        <v>1014</v>
      </c>
      <c r="F49" s="473"/>
      <c r="G49" s="473"/>
      <c r="H49" s="473"/>
      <c r="I49" s="473"/>
      <c r="J49" s="408"/>
    </row>
    <row r="50" spans="1:10">
      <c r="A50" s="1">
        <v>2</v>
      </c>
      <c r="D50" s="398" t="str">
        <f>IF(D48=$L$11,$M$7,IF(ROUNDDOWN(D48,0)=$L$7,$N$7,$M$7))</f>
        <v>　レベル　2</v>
      </c>
      <c r="E50" s="668" t="s">
        <v>1015</v>
      </c>
      <c r="F50" s="472"/>
      <c r="G50" s="472"/>
      <c r="H50" s="472"/>
      <c r="I50" s="472"/>
      <c r="J50" s="475"/>
    </row>
    <row r="51" spans="1:10">
      <c r="A51" s="1">
        <v>3</v>
      </c>
      <c r="D51" s="398" t="str">
        <f>IF(D48=$L$11,$M$8,IF(ROUNDDOWN(D48,0)=$L$8,$N$8,$M$8))</f>
        <v>　レベル　3</v>
      </c>
      <c r="E51" s="668" t="s">
        <v>1016</v>
      </c>
      <c r="F51" s="472"/>
      <c r="G51" s="472"/>
      <c r="H51" s="472"/>
      <c r="I51" s="472"/>
      <c r="J51" s="475"/>
    </row>
    <row r="52" spans="1:10">
      <c r="A52" s="1">
        <v>4</v>
      </c>
      <c r="D52" s="398" t="str">
        <f>IF(D48=$L$11,$M$9,IF(ROUNDDOWN(D48,0)=$L$9,$N$9,$M$9))</f>
        <v>　レベル　4</v>
      </c>
      <c r="E52" s="668" t="s">
        <v>1017</v>
      </c>
      <c r="F52" s="472"/>
      <c r="G52" s="472"/>
      <c r="H52" s="472"/>
      <c r="I52" s="472"/>
      <c r="J52" s="475"/>
    </row>
    <row r="53" spans="1:10">
      <c r="A53" s="1">
        <v>5</v>
      </c>
      <c r="D53" s="399" t="str">
        <f>IF(D48=$L$11,$M$10,IF(ROUNDDOWN(D48,0)=$L$10,$N$10,$M$10))</f>
        <v>■レベル　5</v>
      </c>
      <c r="E53" s="640" t="s">
        <v>1018</v>
      </c>
      <c r="F53" s="638"/>
      <c r="G53" s="638"/>
      <c r="H53" s="638"/>
      <c r="I53" s="638"/>
      <c r="J53" s="639"/>
    </row>
    <row r="54" spans="1:10">
      <c r="A54" s="1" t="s">
        <v>440</v>
      </c>
    </row>
    <row r="55" spans="1:10" ht="15.75" thickBot="1">
      <c r="B55" s="726">
        <v>1.3</v>
      </c>
      <c r="C55" s="725" t="s">
        <v>438</v>
      </c>
      <c r="D55" s="723"/>
      <c r="J55" s="753" t="str">
        <f>IF(J56=0,$L$3,"")</f>
        <v/>
      </c>
    </row>
    <row r="56" spans="1:10" ht="14.25" hidden="1" thickBot="1">
      <c r="D56" s="392"/>
      <c r="E56" s="393"/>
      <c r="F56" s="727"/>
      <c r="G56" s="727"/>
      <c r="H56" s="395" t="s">
        <v>480</v>
      </c>
      <c r="I56" s="395"/>
      <c r="J56" s="396">
        <f>スコア!M16</f>
        <v>1</v>
      </c>
    </row>
    <row r="57" spans="1:10">
      <c r="D57" s="939">
        <v>3</v>
      </c>
      <c r="E57" s="721" t="s">
        <v>351</v>
      </c>
      <c r="F57" s="721"/>
      <c r="G57" s="721"/>
      <c r="H57" s="721"/>
      <c r="I57" s="721"/>
      <c r="J57" s="728"/>
    </row>
    <row r="58" spans="1:10" ht="14.25" thickBot="1">
      <c r="D58" s="940"/>
      <c r="E58" s="944" t="s">
        <v>462</v>
      </c>
      <c r="F58" s="945"/>
      <c r="G58" s="613"/>
      <c r="H58" s="946" t="s">
        <v>463</v>
      </c>
      <c r="I58" s="947"/>
      <c r="J58" s="500" t="s">
        <v>388</v>
      </c>
    </row>
    <row r="59" spans="1:10">
      <c r="A59" s="1">
        <v>1</v>
      </c>
      <c r="D59" s="450" t="str">
        <f>IF(D57=$L$11,$M$6,IF(ROUNDDOWN(D57,0)=$L$6,$N$6,$M$6))</f>
        <v>　レベル　1</v>
      </c>
      <c r="E59" s="566" t="s">
        <v>637</v>
      </c>
      <c r="F59" s="567"/>
      <c r="G59" s="473"/>
      <c r="H59" s="948" t="s">
        <v>638</v>
      </c>
      <c r="I59" s="949"/>
      <c r="J59" s="953" t="s">
        <v>966</v>
      </c>
    </row>
    <row r="60" spans="1:10" ht="35.450000000000003" customHeight="1">
      <c r="A60" s="1">
        <v>2</v>
      </c>
      <c r="D60" s="398" t="str">
        <f>IF(D57=$L$11,$M$7,IF(ROUNDDOWN(D57,0)=$L$7,$N$7,$M$7))</f>
        <v>　レベル　2</v>
      </c>
      <c r="E60" s="950" t="s">
        <v>892</v>
      </c>
      <c r="F60" s="952"/>
      <c r="G60" s="951"/>
      <c r="H60" s="950" t="s">
        <v>895</v>
      </c>
      <c r="I60" s="951"/>
      <c r="J60" s="954"/>
    </row>
    <row r="61" spans="1:10" ht="35.450000000000003" customHeight="1">
      <c r="A61" s="1">
        <v>3</v>
      </c>
      <c r="D61" s="398" t="str">
        <f>IF(D57=$L$11,$M$8,IF(ROUNDDOWN(D57,0)=$L$8,$N$8,$M$8))</f>
        <v>■レベル　3</v>
      </c>
      <c r="E61" s="950" t="s">
        <v>893</v>
      </c>
      <c r="F61" s="952"/>
      <c r="G61" s="951"/>
      <c r="H61" s="950" t="s">
        <v>639</v>
      </c>
      <c r="I61" s="951"/>
      <c r="J61" s="954"/>
    </row>
    <row r="62" spans="1:10" ht="49.15" customHeight="1">
      <c r="A62" s="1">
        <v>4</v>
      </c>
      <c r="D62" s="398" t="str">
        <f>IF(D57=$L$11,$M$9,IF(ROUNDDOWN(D57,0)=$L$9,$N$9,$M$9))</f>
        <v>　レベル　4</v>
      </c>
      <c r="E62" s="950" t="s">
        <v>894</v>
      </c>
      <c r="F62" s="952"/>
      <c r="G62" s="951"/>
      <c r="H62" s="950" t="s">
        <v>640</v>
      </c>
      <c r="I62" s="951"/>
      <c r="J62" s="954"/>
    </row>
    <row r="63" spans="1:10">
      <c r="A63" s="1">
        <v>5</v>
      </c>
      <c r="D63" s="399" t="str">
        <f>IF(D57=$L$11,$M$10,IF(ROUNDDOWN(D57,0)=$L$10,$N$10,$M$10))</f>
        <v>　レベル　5</v>
      </c>
      <c r="E63" s="640" t="s">
        <v>785</v>
      </c>
      <c r="F63" s="638"/>
      <c r="G63" s="638"/>
      <c r="H63" s="638"/>
      <c r="I63" s="639"/>
      <c r="J63" s="955"/>
    </row>
    <row r="64" spans="1:10">
      <c r="A64" s="1" t="s">
        <v>440</v>
      </c>
    </row>
    <row r="65" spans="1:10" ht="15.75" thickBot="1">
      <c r="B65" s="726">
        <v>1.4</v>
      </c>
      <c r="C65" s="725" t="s">
        <v>393</v>
      </c>
      <c r="D65" s="723"/>
      <c r="J65" s="753" t="str">
        <f>IF(J66=0,$L$3,"")</f>
        <v/>
      </c>
    </row>
    <row r="66" spans="1:10" ht="14.25" hidden="1" thickBot="1">
      <c r="D66" s="392"/>
      <c r="E66" s="393"/>
      <c r="F66" s="394"/>
      <c r="G66" s="394"/>
      <c r="H66" s="395" t="s">
        <v>480</v>
      </c>
      <c r="I66" s="395"/>
      <c r="J66" s="396">
        <f>スコア!M17</f>
        <v>1</v>
      </c>
    </row>
    <row r="67" spans="1:10" ht="14.25" thickBot="1">
      <c r="D67" s="397">
        <v>3</v>
      </c>
      <c r="E67" s="436" t="s">
        <v>351</v>
      </c>
      <c r="F67" s="404"/>
      <c r="G67" s="404"/>
      <c r="H67" s="404"/>
      <c r="I67" s="404"/>
      <c r="J67" s="500" t="s">
        <v>388</v>
      </c>
    </row>
    <row r="68" spans="1:10" ht="13.15" customHeight="1">
      <c r="A68" s="1" t="s">
        <v>201</v>
      </c>
      <c r="D68" s="450" t="str">
        <f>IF(D67=$L$11,$M$6,IF(ROUNDDOWN(D67,0)=$L$6,$N$6,$M$6))</f>
        <v>　レベル　1</v>
      </c>
      <c r="E68" s="667" t="s">
        <v>144</v>
      </c>
      <c r="F68" s="473"/>
      <c r="G68" s="473"/>
      <c r="H68" s="473"/>
      <c r="I68" s="473"/>
      <c r="J68" s="953" t="s">
        <v>966</v>
      </c>
    </row>
    <row r="69" spans="1:10">
      <c r="A69" s="1" t="s">
        <v>440</v>
      </c>
      <c r="D69" s="398" t="str">
        <f>IF(D67=$L$11,$M$7,IF(ROUNDDOWN(D67,0)=$L$7,$N$7,$M$7))</f>
        <v>　レベル　2</v>
      </c>
      <c r="E69" s="668" t="s">
        <v>144</v>
      </c>
      <c r="F69" s="472"/>
      <c r="G69" s="472"/>
      <c r="H69" s="472"/>
      <c r="I69" s="472"/>
      <c r="J69" s="954"/>
    </row>
    <row r="70" spans="1:10">
      <c r="A70" s="1">
        <v>3</v>
      </c>
      <c r="D70" s="398" t="str">
        <f>IF(D67=$L$11,$M$8,IF(ROUNDDOWN(D67,0)=$L$8,$N$8,$M$8))</f>
        <v>■レベル　3</v>
      </c>
      <c r="E70" s="668" t="s">
        <v>1009</v>
      </c>
      <c r="F70" s="472"/>
      <c r="G70" s="472"/>
      <c r="H70" s="472"/>
      <c r="I70" s="472"/>
      <c r="J70" s="954"/>
    </row>
    <row r="71" spans="1:10">
      <c r="A71" s="1" t="s">
        <v>201</v>
      </c>
      <c r="D71" s="398" t="str">
        <f>IF(D67=$L$11,$M$9,IF(ROUNDDOWN(D67,0)=$L$9,$N$9,$M$9))</f>
        <v>　レベル　4</v>
      </c>
      <c r="E71" s="668" t="s">
        <v>144</v>
      </c>
      <c r="F71" s="472"/>
      <c r="G71" s="472"/>
      <c r="H71" s="472"/>
      <c r="I71" s="472"/>
      <c r="J71" s="954"/>
    </row>
    <row r="72" spans="1:10" ht="33" customHeight="1">
      <c r="A72" s="1">
        <v>5</v>
      </c>
      <c r="D72" s="399" t="str">
        <f>IF(D67=$L$11,$M$10,IF(ROUNDDOWN(D67,0)=$L$10,$N$10,$M$10))</f>
        <v>　レベル　5</v>
      </c>
      <c r="E72" s="941" t="s">
        <v>1010</v>
      </c>
      <c r="F72" s="942"/>
      <c r="G72" s="942"/>
      <c r="H72" s="942"/>
      <c r="I72" s="943"/>
      <c r="J72" s="955"/>
    </row>
    <row r="73" spans="1:10">
      <c r="A73" s="1" t="s">
        <v>440</v>
      </c>
    </row>
    <row r="74" spans="1:10" ht="15">
      <c r="B74" s="726">
        <v>2</v>
      </c>
      <c r="C74" s="725" t="s">
        <v>400</v>
      </c>
      <c r="D74" s="723"/>
      <c r="J74" s="729"/>
    </row>
    <row r="75" spans="1:10" ht="15">
      <c r="B75" s="726">
        <v>2.1</v>
      </c>
      <c r="C75" s="725" t="s">
        <v>401</v>
      </c>
      <c r="D75" s="723"/>
      <c r="J75" s="753" t="str">
        <f>IF(J76=0,$L$3,"")</f>
        <v/>
      </c>
    </row>
    <row r="76" spans="1:10" hidden="1">
      <c r="A76" s="461"/>
      <c r="D76" s="392"/>
      <c r="E76" s="393"/>
      <c r="F76" s="394"/>
      <c r="G76" s="394"/>
      <c r="H76" s="395" t="s">
        <v>480</v>
      </c>
      <c r="I76" s="395"/>
      <c r="J76" s="396">
        <f>スコア!M19</f>
        <v>1</v>
      </c>
    </row>
    <row r="77" spans="1:10">
      <c r="A77" s="461"/>
      <c r="D77" s="641">
        <f>D85</f>
        <v>3</v>
      </c>
      <c r="E77" s="404" t="s">
        <v>351</v>
      </c>
      <c r="F77" s="404"/>
      <c r="G77" s="404"/>
      <c r="H77" s="404"/>
      <c r="I77" s="404"/>
      <c r="J77" s="500" t="s">
        <v>388</v>
      </c>
    </row>
    <row r="78" spans="1:10">
      <c r="A78" s="1">
        <v>1</v>
      </c>
      <c r="D78" s="398" t="str">
        <f>IF(D77=$L$11,$M$6,IF(ROUNDDOWN(D77,0)=$L$6,$N$6,$M$6))</f>
        <v>　レベル　1</v>
      </c>
      <c r="E78" s="667" t="s">
        <v>327</v>
      </c>
      <c r="F78" s="473"/>
      <c r="G78" s="473"/>
      <c r="H78" s="473"/>
      <c r="I78" s="473"/>
      <c r="J78" s="953" t="s">
        <v>910</v>
      </c>
    </row>
    <row r="79" spans="1:10">
      <c r="A79" s="1">
        <v>2</v>
      </c>
      <c r="D79" s="398" t="str">
        <f>IF(D77=$L$11,$M$7,IF(ROUNDDOWN(D77,0)=$L$7,$N$7,$M$7))</f>
        <v>　レベル　2</v>
      </c>
      <c r="E79" s="668" t="s">
        <v>617</v>
      </c>
      <c r="F79" s="472"/>
      <c r="G79" s="472"/>
      <c r="H79" s="472"/>
      <c r="I79" s="472"/>
      <c r="J79" s="954"/>
    </row>
    <row r="80" spans="1:10">
      <c r="A80" s="1">
        <v>3</v>
      </c>
      <c r="D80" s="398" t="str">
        <f>IF(D77=$L$11,$M$8,IF(ROUNDDOWN(D77,0)=$L$8,$N$8,$M$8))</f>
        <v>■レベル　3</v>
      </c>
      <c r="E80" s="668" t="s">
        <v>896</v>
      </c>
      <c r="F80" s="472"/>
      <c r="G80" s="472"/>
      <c r="H80" s="472"/>
      <c r="I80" s="472"/>
      <c r="J80" s="954"/>
    </row>
    <row r="81" spans="1:10">
      <c r="A81" s="1">
        <v>4</v>
      </c>
      <c r="D81" s="398" t="str">
        <f>IF(D77=$L$11,$M$9,IF(ROUNDDOWN(D77,0)=$L$9,$N$9,$M$9))</f>
        <v>　レベル　4</v>
      </c>
      <c r="E81" s="668" t="s">
        <v>1072</v>
      </c>
      <c r="F81" s="472"/>
      <c r="G81" s="472"/>
      <c r="H81" s="472"/>
      <c r="I81" s="472"/>
      <c r="J81" s="954"/>
    </row>
    <row r="82" spans="1:10" ht="14.25" thickBot="1">
      <c r="A82" s="1">
        <v>5</v>
      </c>
      <c r="D82" s="399" t="str">
        <f>IF(D77=$L$11,$M$10,IF(ROUNDDOWN(D77,0)=$L$10,$N$10,$M$10))</f>
        <v>　レベル　5</v>
      </c>
      <c r="E82" s="650" t="s">
        <v>897</v>
      </c>
      <c r="F82" s="474"/>
      <c r="G82" s="474"/>
      <c r="H82" s="474"/>
      <c r="I82" s="474"/>
      <c r="J82" s="955"/>
    </row>
    <row r="83" spans="1:10" ht="14.25" thickBot="1">
      <c r="A83" s="1" t="s">
        <v>440</v>
      </c>
      <c r="D83" s="397">
        <v>1</v>
      </c>
      <c r="E83" s="730" t="s">
        <v>237</v>
      </c>
      <c r="F83" s="451" t="s">
        <v>259</v>
      </c>
    </row>
    <row r="84" spans="1:10">
      <c r="D84" s="731" t="s">
        <v>816</v>
      </c>
    </row>
    <row r="85" spans="1:10" ht="14.25" thickBot="1">
      <c r="A85" s="461"/>
      <c r="D85" s="642">
        <f>IF(F83=$N$3,IF(E93=0,1,IF(E93&lt;3,2,IF(E93&lt;5,3,IF(E93&gt;=5,4)))),D83)</f>
        <v>3</v>
      </c>
      <c r="E85" s="617" t="s">
        <v>467</v>
      </c>
      <c r="F85" s="616" t="s">
        <v>898</v>
      </c>
      <c r="G85" s="407"/>
      <c r="H85" s="407"/>
      <c r="I85" s="407"/>
      <c r="J85" s="410"/>
    </row>
    <row r="86" spans="1:10">
      <c r="A86" s="461"/>
      <c r="D86" s="507" t="s">
        <v>238</v>
      </c>
      <c r="E86" s="508">
        <v>1</v>
      </c>
      <c r="F86" s="473" t="s">
        <v>484</v>
      </c>
      <c r="G86" s="473"/>
      <c r="H86" s="473"/>
      <c r="I86" s="473"/>
      <c r="J86" s="408"/>
    </row>
    <row r="87" spans="1:10">
      <c r="A87" s="461"/>
      <c r="D87" s="402"/>
      <c r="E87" s="509">
        <v>2</v>
      </c>
      <c r="F87" s="472" t="s">
        <v>748</v>
      </c>
      <c r="G87" s="472"/>
      <c r="H87" s="472"/>
      <c r="I87" s="472"/>
      <c r="J87" s="475"/>
    </row>
    <row r="88" spans="1:10">
      <c r="A88" s="461"/>
      <c r="D88" s="402"/>
      <c r="E88" s="509">
        <v>3</v>
      </c>
      <c r="F88" s="472" t="s">
        <v>749</v>
      </c>
      <c r="G88" s="472"/>
      <c r="H88" s="472"/>
      <c r="I88" s="472"/>
      <c r="J88" s="475"/>
    </row>
    <row r="89" spans="1:10">
      <c r="A89" s="461"/>
      <c r="D89" s="402"/>
      <c r="E89" s="509">
        <v>4</v>
      </c>
      <c r="F89" s="472" t="s">
        <v>485</v>
      </c>
      <c r="G89" s="472"/>
      <c r="H89" s="472"/>
      <c r="I89" s="472"/>
      <c r="J89" s="475"/>
    </row>
    <row r="90" spans="1:10">
      <c r="A90" s="461"/>
      <c r="D90" s="402" t="s">
        <v>238</v>
      </c>
      <c r="E90" s="509">
        <v>5</v>
      </c>
      <c r="F90" s="472" t="s">
        <v>750</v>
      </c>
      <c r="G90" s="472"/>
      <c r="H90" s="472"/>
      <c r="I90" s="472"/>
      <c r="J90" s="475"/>
    </row>
    <row r="91" spans="1:10">
      <c r="A91" s="461"/>
      <c r="D91" s="402"/>
      <c r="E91" s="509">
        <v>6</v>
      </c>
      <c r="F91" s="472" t="s">
        <v>486</v>
      </c>
      <c r="G91" s="472"/>
      <c r="H91" s="472"/>
      <c r="I91" s="472"/>
      <c r="J91" s="475"/>
    </row>
    <row r="92" spans="1:10" ht="14.25" thickBot="1">
      <c r="A92" s="461"/>
      <c r="D92" s="612" t="s">
        <v>238</v>
      </c>
      <c r="E92" s="510">
        <v>7</v>
      </c>
      <c r="F92" s="472" t="s">
        <v>751</v>
      </c>
      <c r="G92" s="472"/>
      <c r="H92" s="472"/>
      <c r="I92" s="472"/>
      <c r="J92" s="475"/>
    </row>
    <row r="93" spans="1:10" ht="14.25">
      <c r="A93" s="461"/>
      <c r="D93" s="454" t="s">
        <v>262</v>
      </c>
      <c r="E93" s="498">
        <f>COUNTIF(D86:D92,$M$4)</f>
        <v>3</v>
      </c>
      <c r="F93" s="498"/>
      <c r="G93" s="498"/>
      <c r="H93" s="498"/>
      <c r="I93" s="498"/>
      <c r="J93" s="499"/>
    </row>
    <row r="94" spans="1:10"/>
    <row r="95" spans="1:10" ht="15.75" thickBot="1">
      <c r="B95" s="726">
        <v>2.2000000000000002</v>
      </c>
      <c r="C95" s="725" t="s">
        <v>503</v>
      </c>
      <c r="D95" s="723"/>
      <c r="J95" s="753" t="str">
        <f>IF(J96=0,$L$3,"")</f>
        <v/>
      </c>
    </row>
    <row r="96" spans="1:10" ht="14.25" hidden="1" thickBot="1">
      <c r="D96" s="392"/>
      <c r="E96" s="393"/>
      <c r="F96" s="394"/>
      <c r="G96" s="394"/>
      <c r="H96" s="395" t="s">
        <v>480</v>
      </c>
      <c r="I96" s="395"/>
      <c r="J96" s="396">
        <f>スコア!M20</f>
        <v>1</v>
      </c>
    </row>
    <row r="97" spans="1:10" ht="14.25" thickBot="1">
      <c r="D97" s="397">
        <v>3</v>
      </c>
      <c r="E97" s="436" t="s">
        <v>351</v>
      </c>
      <c r="F97" s="404"/>
      <c r="G97" s="404"/>
      <c r="H97" s="404"/>
      <c r="I97" s="404"/>
      <c r="J97" s="500" t="s">
        <v>388</v>
      </c>
    </row>
    <row r="98" spans="1:10" ht="13.15" customHeight="1">
      <c r="A98" s="1">
        <v>1</v>
      </c>
      <c r="D98" s="450" t="str">
        <f>IF(D97=$L$11,$M$6,IF(ROUNDDOWN(D97,0)=$L$6,$N$6,$M$6))</f>
        <v>　レベル　1</v>
      </c>
      <c r="E98" s="667" t="s">
        <v>343</v>
      </c>
      <c r="F98" s="473"/>
      <c r="G98" s="473"/>
      <c r="H98" s="473"/>
      <c r="I98" s="473"/>
      <c r="J98" s="953" t="s">
        <v>966</v>
      </c>
    </row>
    <row r="99" spans="1:10">
      <c r="A99" s="1" t="s">
        <v>440</v>
      </c>
      <c r="D99" s="398" t="str">
        <f>IF(D97=$L$11,$M$7,IF(ROUNDDOWN(D97,0)=$L$7,$N$7,$M$7))</f>
        <v>　レベル　2</v>
      </c>
      <c r="E99" s="668" t="s">
        <v>144</v>
      </c>
      <c r="F99" s="472"/>
      <c r="G99" s="472"/>
      <c r="H99" s="472"/>
      <c r="I99" s="472"/>
      <c r="J99" s="954"/>
    </row>
    <row r="100" spans="1:10">
      <c r="A100" s="1">
        <v>3</v>
      </c>
      <c r="D100" s="398" t="str">
        <f>IF(D97=$L$11,$M$8,IF(ROUNDDOWN(D97,0)=$L$8,$N$8,$M$8))</f>
        <v>■レベル　3</v>
      </c>
      <c r="E100" s="668" t="s">
        <v>342</v>
      </c>
      <c r="F100" s="472"/>
      <c r="G100" s="472"/>
      <c r="H100" s="472"/>
      <c r="I100" s="472"/>
      <c r="J100" s="954"/>
    </row>
    <row r="101" spans="1:10">
      <c r="A101" s="1">
        <v>4</v>
      </c>
      <c r="D101" s="398" t="str">
        <f>IF(D97=$L$11,$M$9,IF(ROUNDDOWN(D97,0)=$L$9,$N$9,$M$9))</f>
        <v>　レベル　4</v>
      </c>
      <c r="E101" s="668" t="s">
        <v>561</v>
      </c>
      <c r="F101" s="472"/>
      <c r="G101" s="472"/>
      <c r="H101" s="472"/>
      <c r="I101" s="472"/>
      <c r="J101" s="954"/>
    </row>
    <row r="102" spans="1:10">
      <c r="A102" s="1">
        <v>5</v>
      </c>
      <c r="D102" s="399" t="str">
        <f>IF(D97=$L$11,$M$10,IF(ROUNDDOWN(D97,0)=$L$10,$N$10,$M$10))</f>
        <v>　レベル　5</v>
      </c>
      <c r="E102" s="941" t="s">
        <v>786</v>
      </c>
      <c r="F102" s="942"/>
      <c r="G102" s="942"/>
      <c r="H102" s="942"/>
      <c r="I102" s="943"/>
      <c r="J102" s="955"/>
    </row>
    <row r="103" spans="1:10">
      <c r="A103" s="1" t="s">
        <v>440</v>
      </c>
    </row>
    <row r="104" spans="1:10" ht="15">
      <c r="B104" s="726">
        <v>3</v>
      </c>
      <c r="C104" s="725" t="s">
        <v>428</v>
      </c>
      <c r="D104" s="723"/>
      <c r="J104" s="729"/>
    </row>
    <row r="105" spans="1:10" ht="15.75" thickBot="1">
      <c r="B105" s="726">
        <v>3.1</v>
      </c>
      <c r="C105" s="725" t="s">
        <v>395</v>
      </c>
      <c r="D105" s="723"/>
      <c r="J105" s="753" t="str">
        <f>IF(J106=0,$L$3,"")</f>
        <v/>
      </c>
    </row>
    <row r="106" spans="1:10" ht="14.25" hidden="1" thickBot="1">
      <c r="A106" s="461"/>
      <c r="D106" s="392"/>
      <c r="E106" s="393"/>
      <c r="F106" s="394"/>
      <c r="G106" s="394"/>
      <c r="H106" s="395" t="s">
        <v>480</v>
      </c>
      <c r="I106" s="395"/>
      <c r="J106" s="396">
        <f>スコア!M22</f>
        <v>1</v>
      </c>
    </row>
    <row r="107" spans="1:10" ht="14.25" thickBot="1">
      <c r="A107" s="461"/>
      <c r="D107" s="397">
        <v>3</v>
      </c>
      <c r="E107" s="436" t="s">
        <v>351</v>
      </c>
      <c r="F107" s="404"/>
      <c r="G107" s="404"/>
      <c r="H107" s="404"/>
      <c r="I107" s="404"/>
      <c r="J107" s="405"/>
    </row>
    <row r="108" spans="1:10" ht="27" customHeight="1">
      <c r="A108" s="1">
        <v>1</v>
      </c>
      <c r="D108" s="450" t="str">
        <f>IF(D107=$L$11,$M$6,IF(ROUNDDOWN(D107,0)=$L$6,$N$6,$M$6))</f>
        <v>　レベル　1</v>
      </c>
      <c r="E108" s="948" t="s">
        <v>608</v>
      </c>
      <c r="F108" s="957"/>
      <c r="G108" s="957"/>
      <c r="H108" s="957"/>
      <c r="I108" s="957"/>
      <c r="J108" s="949"/>
    </row>
    <row r="109" spans="1:10">
      <c r="A109" s="1" t="s">
        <v>440</v>
      </c>
      <c r="D109" s="398" t="str">
        <f>IF(D107=$L$11,$M$7,IF(ROUNDDOWN(D107,0)=$L$7,$N$7,$M$7))</f>
        <v>　レベル　2</v>
      </c>
      <c r="E109" s="668" t="s">
        <v>144</v>
      </c>
      <c r="F109" s="472"/>
      <c r="G109" s="472"/>
      <c r="H109" s="472"/>
      <c r="I109" s="472"/>
      <c r="J109" s="475"/>
    </row>
    <row r="110" spans="1:10">
      <c r="A110" s="1">
        <v>3</v>
      </c>
      <c r="D110" s="398" t="str">
        <f>IF(D107=$L$11,$M$8,IF(ROUNDDOWN(D107,0)=$L$8,$N$8,$M$8))</f>
        <v>■レベル　3</v>
      </c>
      <c r="E110" s="950" t="s">
        <v>745</v>
      </c>
      <c r="F110" s="952"/>
      <c r="G110" s="952"/>
      <c r="H110" s="952"/>
      <c r="I110" s="952"/>
      <c r="J110" s="951"/>
    </row>
    <row r="111" spans="1:10" ht="41.45" customHeight="1">
      <c r="A111" s="1">
        <v>4</v>
      </c>
      <c r="D111" s="398" t="str">
        <f>IF(D107=$L$11,$M$9,IF(ROUNDDOWN(D107,0)=$L$9,$N$9,$M$9))</f>
        <v>　レベル　4</v>
      </c>
      <c r="E111" s="950" t="s">
        <v>744</v>
      </c>
      <c r="F111" s="952"/>
      <c r="G111" s="952"/>
      <c r="H111" s="952"/>
      <c r="I111" s="952"/>
      <c r="J111" s="951"/>
    </row>
    <row r="112" spans="1:10" ht="27" customHeight="1">
      <c r="A112" s="1">
        <v>5</v>
      </c>
      <c r="D112" s="399" t="str">
        <f>IF(D107=$L$11,$M$10,IF(ROUNDDOWN(D107,0)=$L$10,$N$10,$M$10))</f>
        <v>　レベル　5</v>
      </c>
      <c r="E112" s="941" t="s">
        <v>746</v>
      </c>
      <c r="F112" s="942"/>
      <c r="G112" s="942"/>
      <c r="H112" s="942"/>
      <c r="I112" s="942"/>
      <c r="J112" s="943"/>
    </row>
    <row r="113" spans="1:10">
      <c r="A113" s="1" t="s">
        <v>440</v>
      </c>
    </row>
    <row r="114" spans="1:10" ht="15.75" thickBot="1">
      <c r="B114" s="726">
        <v>3.2</v>
      </c>
      <c r="C114" s="725" t="s">
        <v>396</v>
      </c>
      <c r="D114" s="723"/>
      <c r="J114" s="753" t="str">
        <f>IF(J115=0,$L$3,"")</f>
        <v/>
      </c>
    </row>
    <row r="115" spans="1:10" ht="14.25" hidden="1" thickBot="1">
      <c r="A115" s="461"/>
      <c r="D115" s="392"/>
      <c r="E115" s="393"/>
      <c r="F115" s="394"/>
      <c r="G115" s="394"/>
      <c r="H115" s="395" t="s">
        <v>480</v>
      </c>
      <c r="I115" s="395"/>
      <c r="J115" s="396">
        <f>スコア!M23</f>
        <v>1</v>
      </c>
    </row>
    <row r="116" spans="1:10" ht="14.25" thickBot="1">
      <c r="A116" s="461"/>
      <c r="D116" s="397">
        <v>3</v>
      </c>
      <c r="E116" s="436" t="s">
        <v>351</v>
      </c>
      <c r="F116" s="404"/>
      <c r="G116" s="404"/>
      <c r="H116" s="404"/>
      <c r="I116" s="404"/>
      <c r="J116" s="405"/>
    </row>
    <row r="117" spans="1:10">
      <c r="A117" s="1" t="s">
        <v>201</v>
      </c>
      <c r="D117" s="450" t="str">
        <f>IF(D116=$L$11,$M$6,IF(ROUNDDOWN(D116,0)=$L$6,$N$6,$M$6))</f>
        <v>　レベル　1</v>
      </c>
      <c r="E117" s="667" t="s">
        <v>144</v>
      </c>
      <c r="F117" s="473"/>
      <c r="G117" s="473"/>
      <c r="H117" s="473"/>
      <c r="I117" s="473"/>
      <c r="J117" s="408"/>
    </row>
    <row r="118" spans="1:10">
      <c r="A118" s="1" t="s">
        <v>440</v>
      </c>
      <c r="D118" s="398" t="str">
        <f>IF(D116=$L$11,$M$7,IF(ROUNDDOWN(D116,0)=$L$7,$N$7,$M$7))</f>
        <v>　レベル　2</v>
      </c>
      <c r="E118" s="668" t="s">
        <v>144</v>
      </c>
      <c r="F118" s="472"/>
      <c r="G118" s="472"/>
      <c r="H118" s="472"/>
      <c r="I118" s="472"/>
      <c r="J118" s="475"/>
    </row>
    <row r="119" spans="1:10">
      <c r="A119" s="1">
        <v>3</v>
      </c>
      <c r="D119" s="398" t="str">
        <f>IF(D116=$L$11,$M$8,IF(ROUNDDOWN(D116,0)=$L$8,$N$8,$M$8))</f>
        <v>■レベル　3</v>
      </c>
      <c r="E119" s="668" t="s">
        <v>609</v>
      </c>
      <c r="F119" s="472"/>
      <c r="G119" s="472"/>
      <c r="H119" s="472"/>
      <c r="I119" s="472"/>
      <c r="J119" s="475"/>
    </row>
    <row r="120" spans="1:10">
      <c r="A120" s="1">
        <v>4</v>
      </c>
      <c r="D120" s="398" t="str">
        <f>IF(D116=$L$11,$M$9,IF(ROUNDDOWN(D116,0)=$L$9,$N$9,$M$9))</f>
        <v>　レベル　4</v>
      </c>
      <c r="E120" s="668" t="s">
        <v>610</v>
      </c>
      <c r="F120" s="472"/>
      <c r="G120" s="472"/>
      <c r="H120" s="472"/>
      <c r="I120" s="472"/>
      <c r="J120" s="475"/>
    </row>
    <row r="121" spans="1:10">
      <c r="A121" s="1">
        <v>5</v>
      </c>
      <c r="D121" s="399" t="str">
        <f>IF(D116=$L$11,$M$10,IF(ROUNDDOWN(D116,0)=$L$10,$N$10,$M$10))</f>
        <v>　レベル　5</v>
      </c>
      <c r="E121" s="650" t="s">
        <v>611</v>
      </c>
      <c r="F121" s="474"/>
      <c r="G121" s="474"/>
      <c r="H121" s="474"/>
      <c r="I121" s="474"/>
      <c r="J121" s="409"/>
    </row>
    <row r="122" spans="1:10">
      <c r="A122" s="1" t="s">
        <v>440</v>
      </c>
    </row>
    <row r="123" spans="1:10" ht="15">
      <c r="B123" s="726">
        <v>3.3</v>
      </c>
      <c r="C123" s="725" t="s">
        <v>397</v>
      </c>
      <c r="D123" s="619"/>
      <c r="J123" s="729"/>
    </row>
    <row r="124" spans="1:10" ht="15.75" thickBot="1">
      <c r="B124" s="726"/>
      <c r="C124" s="725"/>
      <c r="D124" s="723" t="s">
        <v>899</v>
      </c>
      <c r="J124" s="753" t="str">
        <f>IF(J125=0,$L$3,"")</f>
        <v/>
      </c>
    </row>
    <row r="125" spans="1:10" ht="14.25" hidden="1" thickBot="1">
      <c r="A125" s="461"/>
      <c r="D125" s="665"/>
      <c r="E125" s="393"/>
      <c r="F125" s="394"/>
      <c r="G125" s="394"/>
      <c r="H125" s="395" t="s">
        <v>480</v>
      </c>
      <c r="I125" s="395"/>
      <c r="J125" s="396">
        <f>スコア!M24</f>
        <v>1</v>
      </c>
    </row>
    <row r="126" spans="1:10" ht="14.25" thickBot="1">
      <c r="A126" s="461"/>
      <c r="D126" s="666">
        <v>2</v>
      </c>
      <c r="E126" s="436" t="s">
        <v>351</v>
      </c>
      <c r="F126" s="404"/>
      <c r="G126" s="404"/>
      <c r="H126" s="404"/>
      <c r="I126" s="404"/>
      <c r="J126" s="500" t="s">
        <v>388</v>
      </c>
    </row>
    <row r="127" spans="1:10" ht="13.15" customHeight="1">
      <c r="A127" s="1">
        <v>1</v>
      </c>
      <c r="D127" s="450" t="str">
        <f>IF(D126=$L$11,$M$6,IF(ROUNDDOWN(D126,0)=$L$6,$N$6,$M$6))</f>
        <v>　レベル　1</v>
      </c>
      <c r="E127" s="667" t="s">
        <v>482</v>
      </c>
      <c r="F127" s="473"/>
      <c r="G127" s="473"/>
      <c r="H127" s="473"/>
      <c r="I127" s="473"/>
      <c r="J127" s="959" t="s">
        <v>963</v>
      </c>
    </row>
    <row r="128" spans="1:10">
      <c r="A128" s="1">
        <v>2</v>
      </c>
      <c r="D128" s="398" t="str">
        <f>IF(D126=$L$11,$M$7,IF(ROUNDDOWN(D126,0)=$L$7,$N$7,$M$7))</f>
        <v>■レベル　2</v>
      </c>
      <c r="E128" s="668" t="s">
        <v>483</v>
      </c>
      <c r="F128" s="472"/>
      <c r="G128" s="472"/>
      <c r="H128" s="472"/>
      <c r="I128" s="472"/>
      <c r="J128" s="960"/>
    </row>
    <row r="129" spans="1:10">
      <c r="A129" s="1" t="s">
        <v>201</v>
      </c>
      <c r="D129" s="398" t="str">
        <f>IF(D126=$L$11,$M$8,IF(ROUNDDOWN(D126,0)=$L$8,$N$8,$M$8))</f>
        <v>　レベル　3</v>
      </c>
      <c r="E129" s="668" t="s">
        <v>144</v>
      </c>
      <c r="F129" s="472"/>
      <c r="G129" s="472"/>
      <c r="H129" s="472"/>
      <c r="I129" s="472"/>
      <c r="J129" s="960"/>
    </row>
    <row r="130" spans="1:10">
      <c r="A130" s="1" t="s">
        <v>201</v>
      </c>
      <c r="D130" s="398" t="str">
        <f>IF(D126=$L$11,$M$9,IF(ROUNDDOWN(D126,0)=$L$9,$N$9,$M$9))</f>
        <v>　レベル　4</v>
      </c>
      <c r="E130" s="668" t="s">
        <v>144</v>
      </c>
      <c r="F130" s="472"/>
      <c r="G130" s="472"/>
      <c r="H130" s="472"/>
      <c r="I130" s="472"/>
      <c r="J130" s="960"/>
    </row>
    <row r="131" spans="1:10">
      <c r="A131" s="1" t="s">
        <v>201</v>
      </c>
      <c r="D131" s="399" t="str">
        <f>IF(D126=$L$11,$M$10,IF(ROUNDDOWN(D126,0)=$L$10,$N$10,$M$10))</f>
        <v>　レベル　5</v>
      </c>
      <c r="E131" s="650" t="s">
        <v>144</v>
      </c>
      <c r="F131" s="474"/>
      <c r="G131" s="474"/>
      <c r="H131" s="474"/>
      <c r="I131" s="474"/>
      <c r="J131" s="961"/>
    </row>
    <row r="132" spans="1:10">
      <c r="A132" s="400">
        <v>0</v>
      </c>
    </row>
    <row r="133" spans="1:10" ht="15.75" thickBot="1">
      <c r="B133" s="726"/>
      <c r="C133" s="725"/>
      <c r="D133" s="723" t="s">
        <v>900</v>
      </c>
      <c r="J133" s="753" t="str">
        <f>IF(J134=0,$L$3,"")</f>
        <v/>
      </c>
    </row>
    <row r="134" spans="1:10" ht="14.25" hidden="1" thickBot="1">
      <c r="A134" s="461"/>
      <c r="D134" s="392"/>
      <c r="E134" s="393"/>
      <c r="F134" s="394"/>
      <c r="G134" s="394"/>
      <c r="H134" s="395" t="s">
        <v>480</v>
      </c>
      <c r="I134" s="395"/>
      <c r="J134" s="396">
        <f>スコア!M25</f>
        <v>1</v>
      </c>
    </row>
    <row r="135" spans="1:10" ht="14.25" thickBot="1">
      <c r="A135" s="461"/>
      <c r="D135" s="666">
        <v>4</v>
      </c>
      <c r="E135" s="436" t="s">
        <v>351</v>
      </c>
      <c r="F135" s="404"/>
      <c r="G135" s="404"/>
      <c r="H135" s="404"/>
      <c r="I135" s="404"/>
      <c r="J135" s="500" t="s">
        <v>388</v>
      </c>
    </row>
    <row r="136" spans="1:10">
      <c r="A136" s="1" t="s">
        <v>201</v>
      </c>
      <c r="D136" s="450" t="str">
        <f>IF(D135=$L$11,$M$6,IF(ROUNDDOWN(D135,0)=$L$6,$N$6,$M$6))</f>
        <v>　レベル　1</v>
      </c>
      <c r="E136" s="667" t="s">
        <v>144</v>
      </c>
      <c r="F136" s="473"/>
      <c r="G136" s="473"/>
      <c r="H136" s="473"/>
      <c r="I136" s="473"/>
      <c r="J136" s="953" t="s">
        <v>956</v>
      </c>
    </row>
    <row r="137" spans="1:10">
      <c r="A137" s="1" t="s">
        <v>440</v>
      </c>
      <c r="D137" s="398" t="str">
        <f>IF(D135=$L$11,$M$7,IF(ROUNDDOWN(D135,0)=$L$7,$N$7,$M$7))</f>
        <v>　レベル　2</v>
      </c>
      <c r="E137" s="668" t="s">
        <v>144</v>
      </c>
      <c r="F137" s="472"/>
      <c r="G137" s="472"/>
      <c r="H137" s="472"/>
      <c r="I137" s="472"/>
      <c r="J137" s="954"/>
    </row>
    <row r="138" spans="1:10">
      <c r="A138" s="1" t="s">
        <v>201</v>
      </c>
      <c r="D138" s="398" t="str">
        <f>IF(D135=$L$11,$M$8,IF(ROUNDDOWN(D135,0)=$L$8,$N$8,$M$8))</f>
        <v>　レベル　3</v>
      </c>
      <c r="E138" s="668" t="s">
        <v>144</v>
      </c>
      <c r="F138" s="472"/>
      <c r="G138" s="472"/>
      <c r="H138" s="472"/>
      <c r="I138" s="472"/>
      <c r="J138" s="954"/>
    </row>
    <row r="139" spans="1:10" ht="28.9" customHeight="1">
      <c r="A139" s="1">
        <v>4</v>
      </c>
      <c r="D139" s="398" t="str">
        <f>IF(D135=$L$11,$M$9,IF(ROUNDDOWN(D135,0)=$L$9,$N$9,$M$9))</f>
        <v>■レベル　4</v>
      </c>
      <c r="E139" s="950" t="s">
        <v>331</v>
      </c>
      <c r="F139" s="952"/>
      <c r="G139" s="952"/>
      <c r="H139" s="952"/>
      <c r="I139" s="951"/>
      <c r="J139" s="954"/>
    </row>
    <row r="140" spans="1:10">
      <c r="A140" s="1">
        <v>5</v>
      </c>
      <c r="D140" s="399" t="str">
        <f>IF(D135=$L$11,$M$10,IF(ROUNDDOWN(D135,0)=$L$10,$N$10,$M$10))</f>
        <v>　レベル　5</v>
      </c>
      <c r="E140" s="650" t="s">
        <v>330</v>
      </c>
      <c r="F140" s="474"/>
      <c r="G140" s="474"/>
      <c r="H140" s="474"/>
      <c r="I140" s="474"/>
      <c r="J140" s="955"/>
    </row>
    <row r="141" spans="1:10">
      <c r="A141" s="400">
        <v>0</v>
      </c>
    </row>
    <row r="142" spans="1:10" ht="15">
      <c r="B142" s="726">
        <v>4</v>
      </c>
      <c r="C142" s="725" t="s">
        <v>398</v>
      </c>
      <c r="D142" s="723"/>
      <c r="J142" s="729"/>
    </row>
    <row r="143" spans="1:10" ht="15.75" thickBot="1">
      <c r="B143" s="726">
        <v>4.0999999999999996</v>
      </c>
      <c r="C143" s="725" t="s">
        <v>398</v>
      </c>
      <c r="D143" s="723"/>
      <c r="J143" s="753" t="str">
        <f>IF(J144=0,$L$3,"")</f>
        <v/>
      </c>
    </row>
    <row r="144" spans="1:10" ht="14.25" hidden="1" thickBot="1">
      <c r="A144" s="461"/>
      <c r="D144" s="392"/>
      <c r="E144" s="393"/>
      <c r="F144" s="394"/>
      <c r="G144" s="394"/>
      <c r="H144" s="395" t="s">
        <v>480</v>
      </c>
      <c r="I144" s="395"/>
      <c r="J144" s="396">
        <f>スコア!M27</f>
        <v>1</v>
      </c>
    </row>
    <row r="145" spans="1:10" ht="14.25" thickBot="1">
      <c r="A145" s="461"/>
      <c r="D145" s="557">
        <v>3</v>
      </c>
      <c r="E145" s="436" t="s">
        <v>351</v>
      </c>
      <c r="F145" s="404"/>
      <c r="G145" s="404"/>
      <c r="H145" s="404"/>
      <c r="I145" s="404"/>
      <c r="J145" s="405"/>
    </row>
    <row r="146" spans="1:10">
      <c r="A146" s="1">
        <v>1</v>
      </c>
      <c r="D146" s="450" t="str">
        <f>IF(D145=$L$11,$M$6,IF(ROUNDDOWN(D145,0)=$L$6,$N$6,$M$6))</f>
        <v>　レベル　1</v>
      </c>
      <c r="E146" s="667" t="s">
        <v>329</v>
      </c>
      <c r="F146" s="629"/>
      <c r="G146" s="629"/>
      <c r="H146" s="629"/>
      <c r="I146" s="629"/>
      <c r="J146" s="630"/>
    </row>
    <row r="147" spans="1:10">
      <c r="A147" s="1" t="s">
        <v>440</v>
      </c>
      <c r="D147" s="398" t="str">
        <f>IF(D145=$L$11,$M$7,IF(ROUNDDOWN(D145,0)=$L$7,$N$7,$M$7))</f>
        <v>　レベル　2</v>
      </c>
      <c r="E147" s="668" t="s">
        <v>144</v>
      </c>
      <c r="F147" s="631"/>
      <c r="G147" s="631"/>
      <c r="H147" s="631"/>
      <c r="I147" s="631"/>
      <c r="J147" s="632"/>
    </row>
    <row r="148" spans="1:10">
      <c r="A148" s="1">
        <v>3</v>
      </c>
      <c r="D148" s="398" t="str">
        <f>IF(D145=$L$11,$M$8,IF(ROUNDDOWN(D145,0)=$L$8,$N$8,$M$8))</f>
        <v>■レベル　3</v>
      </c>
      <c r="E148" s="668" t="s">
        <v>328</v>
      </c>
      <c r="F148" s="631"/>
      <c r="G148" s="631"/>
      <c r="H148" s="631"/>
      <c r="I148" s="631"/>
      <c r="J148" s="632"/>
    </row>
    <row r="149" spans="1:10">
      <c r="A149" s="1" t="s">
        <v>201</v>
      </c>
      <c r="D149" s="398" t="str">
        <f>IF(D145=$L$11,$M$9,IF(ROUNDDOWN(D145,0)=$L$9,$N$9,$M$9))</f>
        <v>　レベル　4</v>
      </c>
      <c r="E149" s="668" t="s">
        <v>144</v>
      </c>
      <c r="F149" s="631"/>
      <c r="G149" s="631"/>
      <c r="H149" s="631"/>
      <c r="I149" s="631"/>
      <c r="J149" s="632"/>
    </row>
    <row r="150" spans="1:10">
      <c r="A150" s="1">
        <v>5</v>
      </c>
      <c r="D150" s="399" t="str">
        <f>IF(D145=$L$11,$M$10,IF(ROUNDDOWN(D145,0)=$L$10,$N$10,$M$10))</f>
        <v>　レベル　5</v>
      </c>
      <c r="E150" s="650" t="s">
        <v>399</v>
      </c>
      <c r="F150" s="633"/>
      <c r="G150" s="633"/>
      <c r="H150" s="633"/>
      <c r="I150" s="633"/>
      <c r="J150" s="634"/>
    </row>
    <row r="151" spans="1:10" ht="14.25" hidden="1" thickBot="1">
      <c r="A151" s="1" t="s">
        <v>440</v>
      </c>
      <c r="D151" s="397">
        <v>0</v>
      </c>
      <c r="E151" s="730" t="s">
        <v>237</v>
      </c>
      <c r="F151" s="451" t="s">
        <v>259</v>
      </c>
    </row>
    <row r="152" spans="1:10">
      <c r="A152" s="669"/>
      <c r="D152" s="731" t="s">
        <v>816</v>
      </c>
    </row>
    <row r="153" spans="1:10" ht="14.25" thickBot="1">
      <c r="A153" s="461"/>
      <c r="D153" s="635" t="s">
        <v>920</v>
      </c>
      <c r="E153" s="636" t="s">
        <v>467</v>
      </c>
      <c r="F153" s="616" t="s">
        <v>801</v>
      </c>
      <c r="G153" s="407"/>
      <c r="H153" s="407"/>
      <c r="I153" s="407"/>
      <c r="J153" s="410"/>
    </row>
    <row r="154" spans="1:10">
      <c r="A154" s="461"/>
      <c r="D154" s="507"/>
      <c r="E154" s="508">
        <v>1</v>
      </c>
      <c r="F154" s="958" t="s">
        <v>612</v>
      </c>
      <c r="G154" s="957"/>
      <c r="H154" s="957"/>
      <c r="I154" s="957"/>
      <c r="J154" s="949"/>
    </row>
    <row r="155" spans="1:10" ht="31.15" customHeight="1">
      <c r="A155" s="461"/>
      <c r="D155" s="402"/>
      <c r="E155" s="509">
        <v>2</v>
      </c>
      <c r="F155" s="956" t="s">
        <v>613</v>
      </c>
      <c r="G155" s="952"/>
      <c r="H155" s="952"/>
      <c r="I155" s="952"/>
      <c r="J155" s="951"/>
    </row>
    <row r="156" spans="1:10" ht="31.15" customHeight="1">
      <c r="A156" s="461"/>
      <c r="D156" s="402"/>
      <c r="E156" s="509">
        <v>3</v>
      </c>
      <c r="F156" s="956" t="s">
        <v>614</v>
      </c>
      <c r="G156" s="952"/>
      <c r="H156" s="952"/>
      <c r="I156" s="952"/>
      <c r="J156" s="951"/>
    </row>
    <row r="157" spans="1:10" ht="31.15" customHeight="1">
      <c r="A157" s="461"/>
      <c r="D157" s="402"/>
      <c r="E157" s="509">
        <v>4</v>
      </c>
      <c r="F157" s="956" t="s">
        <v>615</v>
      </c>
      <c r="G157" s="952"/>
      <c r="H157" s="952"/>
      <c r="I157" s="952"/>
      <c r="J157" s="951"/>
    </row>
    <row r="158" spans="1:10" ht="31.15" customHeight="1">
      <c r="A158" s="461"/>
      <c r="D158" s="402"/>
      <c r="E158" s="509">
        <v>5</v>
      </c>
      <c r="F158" s="956" t="s">
        <v>616</v>
      </c>
      <c r="G158" s="952"/>
      <c r="H158" s="952"/>
      <c r="I158" s="952"/>
      <c r="J158" s="951"/>
    </row>
    <row r="159" spans="1:10" ht="14.25" thickBot="1">
      <c r="A159" s="461"/>
      <c r="D159" s="612"/>
      <c r="E159" s="510">
        <v>6</v>
      </c>
      <c r="F159" s="474" t="s">
        <v>747</v>
      </c>
      <c r="G159" s="474"/>
      <c r="H159" s="474"/>
      <c r="I159" s="474"/>
      <c r="J159" s="409"/>
    </row>
    <row r="160" spans="1:10"/>
    <row r="161" spans="1:10" ht="15.75" thickBot="1">
      <c r="B161" s="726">
        <v>4.2</v>
      </c>
      <c r="C161" s="725" t="s">
        <v>402</v>
      </c>
      <c r="D161" s="723"/>
      <c r="J161" s="753" t="str">
        <f>IF(J162=0,$L$3,"")</f>
        <v/>
      </c>
    </row>
    <row r="162" spans="1:10" ht="14.25" hidden="1" thickBot="1">
      <c r="D162" s="392"/>
      <c r="E162" s="393"/>
      <c r="F162" s="393"/>
      <c r="G162" s="394"/>
      <c r="H162" s="395" t="s">
        <v>480</v>
      </c>
      <c r="I162" s="395"/>
      <c r="J162" s="396">
        <f>スコア!M29</f>
        <v>1</v>
      </c>
    </row>
    <row r="163" spans="1:10" ht="14.25" thickBot="1">
      <c r="D163" s="397">
        <v>3</v>
      </c>
      <c r="E163" s="436" t="s">
        <v>351</v>
      </c>
      <c r="F163" s="404"/>
      <c r="G163" s="404"/>
      <c r="H163" s="404"/>
      <c r="I163" s="404"/>
      <c r="J163" s="405"/>
    </row>
    <row r="164" spans="1:10">
      <c r="A164" s="1">
        <v>1</v>
      </c>
      <c r="D164" s="450" t="str">
        <f>IF(D163=$L$11,$M$6,IF(ROUNDDOWN(D163,0)=$L$6,$N$6,$M$6))</f>
        <v>　レベル　1</v>
      </c>
      <c r="E164" s="667" t="s">
        <v>904</v>
      </c>
      <c r="F164" s="473"/>
      <c r="G164" s="473"/>
      <c r="H164" s="473"/>
      <c r="I164" s="473"/>
      <c r="J164" s="408"/>
    </row>
    <row r="165" spans="1:10">
      <c r="A165" s="1" t="s">
        <v>440</v>
      </c>
      <c r="D165" s="398" t="str">
        <f>IF(D163=$L$11,$M$7,IF(ROUNDDOWN(D163,0)=$L$7,$N$7,$M$7))</f>
        <v>　レベル　2</v>
      </c>
      <c r="E165" s="668" t="s">
        <v>144</v>
      </c>
      <c r="F165" s="472"/>
      <c r="G165" s="472"/>
      <c r="H165" s="472"/>
      <c r="I165" s="472"/>
      <c r="J165" s="475"/>
    </row>
    <row r="166" spans="1:10">
      <c r="A166" s="1">
        <v>3</v>
      </c>
      <c r="D166" s="398" t="str">
        <f>IF(D163=$L$11,$M$8,IF(ROUNDDOWN(D163,0)=$L$8,$N$8,$M$8))</f>
        <v>■レベル　3</v>
      </c>
      <c r="E166" s="668" t="s">
        <v>901</v>
      </c>
      <c r="F166" s="472"/>
      <c r="G166" s="472"/>
      <c r="H166" s="472"/>
      <c r="I166" s="472"/>
      <c r="J166" s="475"/>
    </row>
    <row r="167" spans="1:10" ht="28.9" customHeight="1">
      <c r="A167" s="1">
        <v>4</v>
      </c>
      <c r="D167" s="398" t="str">
        <f>IF(D163=$L$11,$M$9,IF(ROUNDDOWN(D163,0)=$L$9,$N$9,$M$9))</f>
        <v>　レベル　4</v>
      </c>
      <c r="E167" s="950" t="s">
        <v>902</v>
      </c>
      <c r="F167" s="952"/>
      <c r="G167" s="952"/>
      <c r="H167" s="952"/>
      <c r="I167" s="952"/>
      <c r="J167" s="951"/>
    </row>
    <row r="168" spans="1:10" ht="28.9" customHeight="1">
      <c r="A168" s="1">
        <v>5</v>
      </c>
      <c r="D168" s="399" t="str">
        <f>IF(D163=$L$11,$M$10,IF(ROUNDDOWN(D163,0)=$L$10,$N$10,$M$10))</f>
        <v>　レベル　5</v>
      </c>
      <c r="E168" s="941" t="s">
        <v>903</v>
      </c>
      <c r="F168" s="942"/>
      <c r="G168" s="942"/>
      <c r="H168" s="942"/>
      <c r="I168" s="942"/>
      <c r="J168" s="943"/>
    </row>
    <row r="169" spans="1:10">
      <c r="A169" s="1" t="s">
        <v>440</v>
      </c>
    </row>
    <row r="170" spans="1:10"/>
    <row r="171" spans="1:10"/>
    <row r="172" spans="1:10"/>
    <row r="173" spans="1:10"/>
    <row r="174" spans="1:10"/>
    <row r="175" spans="1:10"/>
    <row r="176" spans="1:10"/>
    <row r="177"/>
    <row r="178"/>
    <row r="179"/>
  </sheetData>
  <sheetProtection algorithmName="SHA-512" hashValue="HNOdP0qW2qTqYoRIxCFmu+faIWva/BbmYuMS3W+DQV21R+qDdJYgBFxBgGSkSVlRVe/jgnM5jc77ALVz0cKMcA==" saltValue="7opQ6zSj4O/oSweuIsKZAg==" spinCount="100000" sheet="1" objects="1" scenarios="1"/>
  <mergeCells count="44">
    <mergeCell ref="J78:J82"/>
    <mergeCell ref="E37:E39"/>
    <mergeCell ref="D37:D39"/>
    <mergeCell ref="E29:G29"/>
    <mergeCell ref="E30:G30"/>
    <mergeCell ref="E31:G31"/>
    <mergeCell ref="E32:G32"/>
    <mergeCell ref="E33:G33"/>
    <mergeCell ref="F39:I39"/>
    <mergeCell ref="H30:J30"/>
    <mergeCell ref="H31:J31"/>
    <mergeCell ref="H32:J32"/>
    <mergeCell ref="H33:J33"/>
    <mergeCell ref="F38:I38"/>
    <mergeCell ref="J68:J72"/>
    <mergeCell ref="J59:J63"/>
    <mergeCell ref="E110:J110"/>
    <mergeCell ref="E167:J167"/>
    <mergeCell ref="E168:J168"/>
    <mergeCell ref="J98:J102"/>
    <mergeCell ref="F158:J158"/>
    <mergeCell ref="E108:J108"/>
    <mergeCell ref="E111:J111"/>
    <mergeCell ref="E112:J112"/>
    <mergeCell ref="F154:J154"/>
    <mergeCell ref="F155:J155"/>
    <mergeCell ref="F156:J156"/>
    <mergeCell ref="F157:J157"/>
    <mergeCell ref="E102:I102"/>
    <mergeCell ref="J127:J131"/>
    <mergeCell ref="J136:J140"/>
    <mergeCell ref="E139:I139"/>
    <mergeCell ref="D27:D28"/>
    <mergeCell ref="D57:D58"/>
    <mergeCell ref="E72:I72"/>
    <mergeCell ref="E58:F58"/>
    <mergeCell ref="H58:I58"/>
    <mergeCell ref="H59:I59"/>
    <mergeCell ref="H60:I60"/>
    <mergeCell ref="E60:G60"/>
    <mergeCell ref="E61:G61"/>
    <mergeCell ref="E62:G62"/>
    <mergeCell ref="H61:I61"/>
    <mergeCell ref="H62:I62"/>
  </mergeCells>
  <phoneticPr fontId="23"/>
  <conditionalFormatting sqref="D9">
    <cfRule type="expression" dxfId="115" priority="38" stopIfTrue="1">
      <formula>AND(OR(D9&lt;1,D9&gt;5),D9&lt;&gt;0)</formula>
    </cfRule>
    <cfRule type="expression" dxfId="114" priority="39" stopIfTrue="1">
      <formula>J8&gt;0</formula>
    </cfRule>
  </conditionalFormatting>
  <conditionalFormatting sqref="D18">
    <cfRule type="expression" dxfId="113" priority="12" stopIfTrue="1">
      <formula>AND(OR(D18&lt;1,D18&gt;5),D18&lt;&gt;0)</formula>
    </cfRule>
    <cfRule type="expression" dxfId="112" priority="13" stopIfTrue="1">
      <formula>J17&gt;0</formula>
    </cfRule>
  </conditionalFormatting>
  <conditionalFormatting sqref="D34">
    <cfRule type="expression" dxfId="111" priority="41" stopIfTrue="1">
      <formula>AND(OR(D34&lt;1,D34&gt;5),D34&lt;&gt;0)</formula>
    </cfRule>
    <cfRule type="expression" dxfId="110" priority="42" stopIfTrue="1">
      <formula>AND(J26&gt;0,F34=$N$4)</formula>
    </cfRule>
  </conditionalFormatting>
  <conditionalFormatting sqref="D37 D40:D43">
    <cfRule type="expression" dxfId="109" priority="43" stopIfTrue="1">
      <formula>AND($J$26&gt;0,$F$34=$N$3)</formula>
    </cfRule>
  </conditionalFormatting>
  <conditionalFormatting sqref="D48">
    <cfRule type="expression" dxfId="108" priority="1" stopIfTrue="1">
      <formula>AND(OR(D48&lt;1,D48&gt;5),D48&lt;&gt;0)</formula>
    </cfRule>
    <cfRule type="expression" dxfId="107" priority="2" stopIfTrue="1">
      <formula>J47&gt;0</formula>
    </cfRule>
  </conditionalFormatting>
  <conditionalFormatting sqref="D57">
    <cfRule type="expression" dxfId="106" priority="30" stopIfTrue="1">
      <formula>AND(OR(D57&lt;1,D57&gt;5),D57&lt;&gt;0)</formula>
    </cfRule>
    <cfRule type="expression" dxfId="105" priority="31" stopIfTrue="1">
      <formula>J56&gt;0</formula>
    </cfRule>
  </conditionalFormatting>
  <conditionalFormatting sqref="D67">
    <cfRule type="expression" dxfId="104" priority="32" stopIfTrue="1">
      <formula>AND(OR(D67&lt;1,D67&gt;5),D67&lt;&gt;0)</formula>
    </cfRule>
    <cfRule type="expression" dxfId="103" priority="33" stopIfTrue="1">
      <formula>J66&gt;0</formula>
    </cfRule>
  </conditionalFormatting>
  <conditionalFormatting sqref="D83">
    <cfRule type="expression" dxfId="102" priority="7" stopIfTrue="1">
      <formula>AND(OR(D83&lt;1,D83&gt;5),D83&lt;&gt;0)</formula>
    </cfRule>
    <cfRule type="expression" dxfId="101" priority="8" stopIfTrue="1">
      <formula>AND(J76&gt;0,F83=$N$4)</formula>
    </cfRule>
  </conditionalFormatting>
  <conditionalFormatting sqref="D86:D92">
    <cfRule type="expression" dxfId="100" priority="29" stopIfTrue="1">
      <formula>$J$115&gt;0</formula>
    </cfRule>
  </conditionalFormatting>
  <conditionalFormatting sqref="D97">
    <cfRule type="expression" dxfId="99" priority="24" stopIfTrue="1">
      <formula>AND(OR(D97&lt;1,D97&gt;5),D97&lt;&gt;0)</formula>
    </cfRule>
    <cfRule type="expression" dxfId="98" priority="25" stopIfTrue="1">
      <formula>J96&gt;0</formula>
    </cfRule>
  </conditionalFormatting>
  <conditionalFormatting sqref="D107 D126 D135 D145">
    <cfRule type="expression" dxfId="97" priority="21" stopIfTrue="1">
      <formula>AND(OR(D107&lt;1,D107&gt;5),D107&lt;&gt;0)</formula>
    </cfRule>
    <cfRule type="expression" dxfId="96" priority="22" stopIfTrue="1">
      <formula>J106&gt;0</formula>
    </cfRule>
  </conditionalFormatting>
  <conditionalFormatting sqref="D116">
    <cfRule type="expression" dxfId="95" priority="19" stopIfTrue="1">
      <formula>AND(OR(D116&lt;1,D116&gt;5),D116&lt;&gt;0)</formula>
    </cfRule>
    <cfRule type="expression" dxfId="94" priority="20" stopIfTrue="1">
      <formula>J115&gt;0</formula>
    </cfRule>
  </conditionalFormatting>
  <conditionalFormatting sqref="D151">
    <cfRule type="expression" dxfId="93" priority="5" stopIfTrue="1">
      <formula>AND(OR(D151&lt;1,D151&gt;5),D151&lt;&gt;0)</formula>
    </cfRule>
    <cfRule type="expression" dxfId="92" priority="6" stopIfTrue="1">
      <formula>AND(J143&gt;0,F151=$N$4)</formula>
    </cfRule>
  </conditionalFormatting>
  <conditionalFormatting sqref="D154:D159">
    <cfRule type="expression" dxfId="91" priority="23" stopIfTrue="1">
      <formula>AND($J$144&gt;0,$F$151=$N$3)</formula>
    </cfRule>
  </conditionalFormatting>
  <conditionalFormatting sqref="D163">
    <cfRule type="expression" dxfId="90" priority="14" stopIfTrue="1">
      <formula>AND(OR(D163&lt;1,D163&gt;5),D163&lt;&gt;0)</formula>
    </cfRule>
    <cfRule type="expression" dxfId="89" priority="15" stopIfTrue="1">
      <formula>J162&gt;0</formula>
    </cfRule>
  </conditionalFormatting>
  <conditionalFormatting sqref="F34">
    <cfRule type="expression" dxfId="88" priority="40">
      <formula>J26&gt;0</formula>
    </cfRule>
  </conditionalFormatting>
  <conditionalFormatting sqref="F83">
    <cfRule type="expression" dxfId="87" priority="9">
      <formula>J76&gt;0</formula>
    </cfRule>
  </conditionalFormatting>
  <conditionalFormatting sqref="F151">
    <cfRule type="expression" dxfId="86" priority="4">
      <formula>J144&gt;0</formula>
    </cfRule>
  </conditionalFormatting>
  <dataValidations count="8">
    <dataValidation type="list" allowBlank="1" showInputMessage="1" sqref="D34 D83 D151" xr:uid="{00000000-0002-0000-0700-000006000000}">
      <formula1>A29:A34</formula1>
    </dataValidation>
    <dataValidation type="list" allowBlank="1" showInputMessage="1" showErrorMessage="1" sqref="F34 F83 F151" xr:uid="{00000000-0002-0000-0700-000005000000}">
      <formula1>$N$3:$N$4</formula1>
    </dataValidation>
    <dataValidation type="list" allowBlank="1" showInputMessage="1" sqref="D9 D18 D67 D97 D107 D116 D145 D135 D126 D163 D48" xr:uid="{00000000-0002-0000-0700-000002000000}">
      <formula1>A10:A15</formula1>
    </dataValidation>
    <dataValidation allowBlank="1" showInputMessage="1" sqref="D27 D77" xr:uid="{00000000-0002-0000-0700-000001000000}"/>
    <dataValidation type="list" allowBlank="1" showInputMessage="1" showErrorMessage="1" sqref="D154:D159 D86:D92" xr:uid="{00000000-0002-0000-0700-000000000000}">
      <formula1>"○,　"</formula1>
    </dataValidation>
    <dataValidation type="list" allowBlank="1" showInputMessage="1" sqref="D57" xr:uid="{00000000-0002-0000-0800-000005000000}">
      <formula1>A59:A64</formula1>
    </dataValidation>
    <dataValidation type="list" allowBlank="1" showInputMessage="1" showErrorMessage="1" sqref="D40:D43" xr:uid="{8C22A345-FF8C-487E-ADD8-2F7392079C5F}">
      <formula1>J40:K40</formula1>
    </dataValidation>
    <dataValidation type="list" allowBlank="1" showInputMessage="1" showErrorMessage="1" sqref="D37" xr:uid="{E7888ED9-833C-46BB-BF52-F9A591144F76}">
      <formula1>$J$37:$J$39</formula1>
    </dataValidation>
  </dataValidations>
  <pageMargins left="0.7" right="0.7" top="0.75" bottom="0.75" header="0.3" footer="0.3"/>
  <pageSetup paperSize="9" scale="85" fitToHeight="0" orientation="portrait" horizontalDpi="1200" verticalDpi="1200" r:id="rId1"/>
  <rowBreaks count="1" manualBreakCount="1">
    <brk id="1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FA1B-77ED-44B4-8638-57B12FC2D692}">
  <sheetPr>
    <pageSetUpPr fitToPage="1"/>
  </sheetPr>
  <dimension ref="A1:P394"/>
  <sheetViews>
    <sheetView showGridLines="0" topLeftCell="B100" zoomScale="120" zoomScaleNormal="120" workbookViewId="0">
      <selection activeCell="E115" sqref="E115"/>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0"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811</v>
      </c>
      <c r="D3" s="388"/>
      <c r="E3" s="388"/>
      <c r="F3" s="388"/>
      <c r="G3" s="390"/>
      <c r="H3" s="391" t="s">
        <v>230</v>
      </c>
      <c r="K3" s="386"/>
      <c r="L3" t="s">
        <v>131</v>
      </c>
      <c r="N3" s="461" t="s">
        <v>260</v>
      </c>
    </row>
    <row r="4" spans="1:16">
      <c r="A4" s="461"/>
      <c r="D4" s="388"/>
      <c r="E4" s="388"/>
      <c r="F4" s="388"/>
      <c r="G4" s="388"/>
      <c r="H4" s="388"/>
      <c r="I4" s="388"/>
      <c r="J4" s="388"/>
      <c r="K4" s="386"/>
      <c r="M4" t="s">
        <v>155</v>
      </c>
      <c r="N4" t="s">
        <v>156</v>
      </c>
    </row>
    <row r="5" spans="1:16" ht="15">
      <c r="B5" s="726">
        <v>1</v>
      </c>
      <c r="C5" s="725" t="s">
        <v>812</v>
      </c>
      <c r="D5" s="723"/>
      <c r="J5" s="753"/>
      <c r="K5" s="729"/>
    </row>
    <row r="6" spans="1:16" ht="15">
      <c r="B6" s="726">
        <v>1.1000000000000001</v>
      </c>
      <c r="C6" s="725" t="s">
        <v>404</v>
      </c>
      <c r="D6" s="723"/>
      <c r="J6" s="753" t="str">
        <f>IF(J7=0,$L$3,"")</f>
        <v/>
      </c>
      <c r="K6" s="729"/>
      <c r="L6">
        <v>1</v>
      </c>
      <c r="M6" t="s">
        <v>113</v>
      </c>
      <c r="N6" t="s">
        <v>114</v>
      </c>
      <c r="O6" s="461"/>
      <c r="P6" s="461"/>
    </row>
    <row r="7" spans="1:16" hidden="1">
      <c r="D7" s="392"/>
      <c r="E7" s="393"/>
      <c r="F7" s="394"/>
      <c r="G7" s="394"/>
      <c r="H7" s="395" t="s">
        <v>480</v>
      </c>
      <c r="I7" s="395"/>
      <c r="J7" s="396">
        <f>スコア!M32</f>
        <v>1</v>
      </c>
      <c r="L7">
        <v>2</v>
      </c>
      <c r="M7" t="s">
        <v>124</v>
      </c>
      <c r="N7" t="s">
        <v>125</v>
      </c>
      <c r="O7" s="461"/>
      <c r="P7" s="461"/>
    </row>
    <row r="8" spans="1:16">
      <c r="D8" s="641">
        <f>D16</f>
        <v>3</v>
      </c>
      <c r="E8" s="404" t="s">
        <v>351</v>
      </c>
      <c r="F8" s="404"/>
      <c r="G8" s="404"/>
      <c r="H8" s="404"/>
      <c r="I8" s="404"/>
      <c r="J8" s="500" t="s">
        <v>388</v>
      </c>
      <c r="L8">
        <v>3</v>
      </c>
      <c r="M8" t="s">
        <v>126</v>
      </c>
      <c r="N8" t="s">
        <v>127</v>
      </c>
      <c r="O8" s="461"/>
      <c r="P8" s="461"/>
    </row>
    <row r="9" spans="1:16">
      <c r="A9" s="1">
        <v>1</v>
      </c>
      <c r="D9" s="398" t="str">
        <f>IF(D8=$L$11,$M$6,IF(ROUNDDOWN(D8,0)=$L$6,$N$6,$M$6))</f>
        <v>　レベル　1</v>
      </c>
      <c r="E9" s="667" t="s">
        <v>997</v>
      </c>
      <c r="F9" s="473"/>
      <c r="G9" s="473"/>
      <c r="H9" s="473"/>
      <c r="I9" s="473"/>
      <c r="J9" s="953" t="s">
        <v>517</v>
      </c>
      <c r="L9">
        <v>4</v>
      </c>
      <c r="M9" t="s">
        <v>116</v>
      </c>
      <c r="N9" t="s">
        <v>117</v>
      </c>
      <c r="O9" s="461"/>
      <c r="P9" s="461"/>
    </row>
    <row r="10" spans="1:16">
      <c r="A10" s="1">
        <v>2</v>
      </c>
      <c r="D10" s="398" t="str">
        <f>IF(D8=$L$11,$M$7,IF(ROUNDDOWN(D8,0)=$L$7,$N$7,$M$7))</f>
        <v>　レベル　2</v>
      </c>
      <c r="E10" s="652" t="s">
        <v>689</v>
      </c>
      <c r="F10" s="564"/>
      <c r="G10" s="564"/>
      <c r="H10" s="564"/>
      <c r="I10" s="565"/>
      <c r="J10" s="954"/>
      <c r="L10">
        <v>5</v>
      </c>
      <c r="M10" t="s">
        <v>119</v>
      </c>
      <c r="N10" t="s">
        <v>120</v>
      </c>
      <c r="O10" s="461"/>
      <c r="P10" s="461"/>
    </row>
    <row r="11" spans="1:16">
      <c r="A11" s="1">
        <v>3</v>
      </c>
      <c r="D11" s="398" t="str">
        <f>IF(D8=$L$11,$M$8,IF(ROUNDDOWN(D8,0)=$L$8,$N$8,$M$8))</f>
        <v>■レベル　3</v>
      </c>
      <c r="E11" s="652" t="s">
        <v>690</v>
      </c>
      <c r="F11" s="564"/>
      <c r="G11" s="564"/>
      <c r="H11" s="564"/>
      <c r="I11" s="565"/>
      <c r="J11" s="954"/>
      <c r="L11">
        <v>0</v>
      </c>
      <c r="M11" t="s">
        <v>115</v>
      </c>
      <c r="N11" t="s">
        <v>115</v>
      </c>
      <c r="O11" s="461"/>
      <c r="P11" s="461"/>
    </row>
    <row r="12" spans="1:16">
      <c r="A12" s="1">
        <v>4</v>
      </c>
      <c r="D12" s="398" t="str">
        <f>IF(D8=$L$11,$M$9,IF(ROUNDDOWN(D8,0)=$L$9,$N$9,$M$9))</f>
        <v>　レベル　4</v>
      </c>
      <c r="E12" s="652" t="s">
        <v>691</v>
      </c>
      <c r="F12" s="564"/>
      <c r="G12" s="564"/>
      <c r="H12" s="564"/>
      <c r="I12" s="565"/>
      <c r="J12" s="954"/>
    </row>
    <row r="13" spans="1:16" ht="25.15" customHeight="1" thickBot="1">
      <c r="A13" s="1">
        <v>5</v>
      </c>
      <c r="D13" s="399" t="str">
        <f>IF(D8=$L$11,$M$10,IF(ROUNDDOWN(D8,0)=$L$10,$N$10,$M$10))</f>
        <v>　レベル　5</v>
      </c>
      <c r="E13" s="941" t="s">
        <v>692</v>
      </c>
      <c r="F13" s="942"/>
      <c r="G13" s="942"/>
      <c r="H13" s="942"/>
      <c r="I13" s="943"/>
      <c r="J13" s="955"/>
    </row>
    <row r="14" spans="1:16" ht="14.25" thickBot="1">
      <c r="A14" s="1" t="s">
        <v>440</v>
      </c>
      <c r="D14" s="397">
        <v>0</v>
      </c>
      <c r="E14" s="730" t="s">
        <v>237</v>
      </c>
      <c r="F14" s="451" t="s">
        <v>259</v>
      </c>
    </row>
    <row r="15" spans="1:16">
      <c r="D15" s="731" t="s">
        <v>816</v>
      </c>
    </row>
    <row r="16" spans="1:16" ht="14.25" thickBot="1">
      <c r="D16" s="611">
        <f>IF(F14=$N$3,IF(E24&lt;1,1,IF(E24&lt;=2,2,IF(E24=3,3,IF(E24=4,4,IF(E24&gt;=5,5))))),D14)</f>
        <v>3</v>
      </c>
      <c r="E16" s="407" t="s">
        <v>499</v>
      </c>
      <c r="F16" s="407"/>
      <c r="G16" s="616" t="s">
        <v>497</v>
      </c>
      <c r="H16" s="506"/>
      <c r="I16" s="506"/>
      <c r="J16" s="411" t="s">
        <v>406</v>
      </c>
    </row>
    <row r="17" spans="1:10" ht="38.450000000000003" customHeight="1">
      <c r="D17" s="512">
        <v>2</v>
      </c>
      <c r="E17" s="981" t="s">
        <v>317</v>
      </c>
      <c r="F17" s="982"/>
      <c r="G17" s="958" t="s">
        <v>540</v>
      </c>
      <c r="H17" s="957"/>
      <c r="I17" s="949"/>
      <c r="J17" s="501">
        <v>2</v>
      </c>
    </row>
    <row r="18" spans="1:10">
      <c r="D18" s="513"/>
      <c r="E18" s="983" t="s">
        <v>316</v>
      </c>
      <c r="F18" s="984"/>
      <c r="G18" s="956" t="s">
        <v>315</v>
      </c>
      <c r="H18" s="952"/>
      <c r="I18" s="951"/>
      <c r="J18" s="502">
        <v>1</v>
      </c>
    </row>
    <row r="19" spans="1:10" ht="35.450000000000003" customHeight="1">
      <c r="D19" s="513">
        <v>1</v>
      </c>
      <c r="E19" s="983" t="s">
        <v>314</v>
      </c>
      <c r="F19" s="984"/>
      <c r="G19" s="956" t="s">
        <v>541</v>
      </c>
      <c r="H19" s="952"/>
      <c r="I19" s="951"/>
      <c r="J19" s="502">
        <v>1</v>
      </c>
    </row>
    <row r="20" spans="1:10" ht="27" customHeight="1">
      <c r="D20" s="513"/>
      <c r="E20" s="983" t="s">
        <v>313</v>
      </c>
      <c r="F20" s="984"/>
      <c r="G20" s="956" t="s">
        <v>312</v>
      </c>
      <c r="H20" s="952"/>
      <c r="I20" s="951"/>
      <c r="J20" s="502">
        <v>1</v>
      </c>
    </row>
    <row r="21" spans="1:10" ht="39" customHeight="1">
      <c r="D21" s="513"/>
      <c r="E21" s="983" t="s">
        <v>311</v>
      </c>
      <c r="F21" s="984"/>
      <c r="G21" s="956" t="s">
        <v>542</v>
      </c>
      <c r="H21" s="952"/>
      <c r="I21" s="951"/>
      <c r="J21" s="502">
        <v>1</v>
      </c>
    </row>
    <row r="22" spans="1:10" ht="37.15" customHeight="1">
      <c r="D22" s="513"/>
      <c r="E22" s="983" t="s">
        <v>310</v>
      </c>
      <c r="F22" s="984"/>
      <c r="G22" s="956" t="s">
        <v>543</v>
      </c>
      <c r="H22" s="952"/>
      <c r="I22" s="951"/>
      <c r="J22" s="502">
        <v>1</v>
      </c>
    </row>
    <row r="23" spans="1:10" ht="14.25" thickBot="1">
      <c r="D23" s="514"/>
      <c r="E23" s="979" t="s">
        <v>405</v>
      </c>
      <c r="F23" s="980"/>
      <c r="G23" s="472" t="s">
        <v>518</v>
      </c>
      <c r="H23" s="472"/>
      <c r="I23" s="472"/>
      <c r="J23" s="503">
        <v>1</v>
      </c>
    </row>
    <row r="24" spans="1:10" ht="14.25">
      <c r="D24" s="454" t="s">
        <v>262</v>
      </c>
      <c r="E24" s="515">
        <f>SUM(D17:D23)</f>
        <v>3</v>
      </c>
      <c r="F24" s="452" t="s">
        <v>261</v>
      </c>
      <c r="G24" s="452"/>
      <c r="H24" s="498"/>
      <c r="I24" s="498"/>
      <c r="J24" s="499"/>
    </row>
    <row r="25" spans="1:10"/>
    <row r="26" spans="1:10" ht="15">
      <c r="B26" s="726">
        <v>1.2</v>
      </c>
      <c r="C26" s="725" t="s">
        <v>887</v>
      </c>
      <c r="D26" s="723"/>
      <c r="J26" s="753"/>
    </row>
    <row r="27" spans="1:10" ht="15">
      <c r="B27" s="726"/>
      <c r="C27" s="725"/>
      <c r="D27" s="723" t="s">
        <v>905</v>
      </c>
      <c r="J27" s="753" t="str">
        <f>IF(J28=0,$L$3,"")</f>
        <v/>
      </c>
    </row>
    <row r="28" spans="1:10" hidden="1">
      <c r="D28" s="392"/>
      <c r="E28" s="393"/>
      <c r="F28" s="394"/>
      <c r="G28" s="394"/>
      <c r="H28" s="395" t="s">
        <v>480</v>
      </c>
      <c r="I28" s="395"/>
      <c r="J28" s="396">
        <f>スコア!M33</f>
        <v>1</v>
      </c>
    </row>
    <row r="29" spans="1:10">
      <c r="D29" s="977">
        <f>D38</f>
        <v>3</v>
      </c>
      <c r="E29" s="404" t="s">
        <v>351</v>
      </c>
      <c r="F29" s="404"/>
      <c r="G29" s="404"/>
      <c r="H29" s="404"/>
      <c r="I29" s="404"/>
      <c r="J29" s="405"/>
    </row>
    <row r="30" spans="1:10">
      <c r="D30" s="978"/>
      <c r="E30" s="947" t="s">
        <v>355</v>
      </c>
      <c r="F30" s="946"/>
      <c r="G30" s="613"/>
      <c r="H30" s="986" t="s">
        <v>463</v>
      </c>
      <c r="I30" s="947"/>
      <c r="J30" s="986"/>
    </row>
    <row r="31" spans="1:10">
      <c r="A31" s="1">
        <v>1</v>
      </c>
      <c r="D31" s="398" t="str">
        <f>IF(D29=$L$11,$M$6,IF(ROUNDDOWN(D29,0)=$L$6,$N$6,$M$6))</f>
        <v>　レベル　1</v>
      </c>
      <c r="E31" s="667" t="s">
        <v>144</v>
      </c>
      <c r="F31" s="473"/>
      <c r="G31" s="473"/>
      <c r="H31" s="667" t="s">
        <v>164</v>
      </c>
      <c r="I31" s="473"/>
      <c r="J31" s="408"/>
    </row>
    <row r="32" spans="1:10">
      <c r="A32" s="1">
        <v>2</v>
      </c>
      <c r="D32" s="398" t="str">
        <f>IF(D29=$L$11,$M$7,IF(ROUNDDOWN(D29,0)=$L$7,$N$7,$M$7))</f>
        <v>　レベル　2</v>
      </c>
      <c r="E32" s="668" t="s">
        <v>13</v>
      </c>
      <c r="F32" s="472"/>
      <c r="G32" s="472"/>
      <c r="H32" s="668" t="s">
        <v>460</v>
      </c>
      <c r="I32" s="472"/>
      <c r="J32" s="475"/>
    </row>
    <row r="33" spans="1:10">
      <c r="A33" s="1">
        <v>3</v>
      </c>
      <c r="D33" s="398" t="str">
        <f>IF(D29=$L$11,$M$8,IF(ROUNDDOWN(D29,0)=$L$8,$N$8,$M$8))</f>
        <v>■レベル　3</v>
      </c>
      <c r="E33" s="668" t="s">
        <v>460</v>
      </c>
      <c r="F33" s="472"/>
      <c r="G33" s="472"/>
      <c r="H33" s="668" t="s">
        <v>321</v>
      </c>
      <c r="I33" s="472"/>
      <c r="J33" s="475"/>
    </row>
    <row r="34" spans="1:10">
      <c r="A34" s="1">
        <v>4</v>
      </c>
      <c r="D34" s="398" t="str">
        <f>IF(D29=$L$11,$M$9,IF(ROUNDDOWN(D29,0)=$L$9,$N$9,$M$9))</f>
        <v>　レベル　4</v>
      </c>
      <c r="E34" s="668" t="s">
        <v>321</v>
      </c>
      <c r="F34" s="472"/>
      <c r="G34" s="472"/>
      <c r="H34" s="668" t="s">
        <v>320</v>
      </c>
      <c r="I34" s="472"/>
      <c r="J34" s="475"/>
    </row>
    <row r="35" spans="1:10">
      <c r="A35" s="1">
        <v>5</v>
      </c>
      <c r="D35" s="399" t="str">
        <f>IF(D29=$L$11,$M$10,IF(ROUNDDOWN(D29,0)=$L$10,$N$10,$M$10))</f>
        <v>　レベル　5</v>
      </c>
      <c r="E35" s="650" t="s">
        <v>320</v>
      </c>
      <c r="F35" s="474"/>
      <c r="G35" s="474"/>
      <c r="H35" s="650" t="s">
        <v>319</v>
      </c>
      <c r="I35" s="474"/>
      <c r="J35" s="409"/>
    </row>
    <row r="36" spans="1:10" ht="14.25" hidden="1" thickBot="1">
      <c r="A36" s="1" t="s">
        <v>440</v>
      </c>
      <c r="D36" s="397">
        <v>0</v>
      </c>
      <c r="E36" s="730" t="s">
        <v>237</v>
      </c>
      <c r="F36" s="451" t="s">
        <v>259</v>
      </c>
    </row>
    <row r="37" spans="1:10">
      <c r="D37" s="731" t="s">
        <v>816</v>
      </c>
    </row>
    <row r="38" spans="1:10" ht="14.25" thickBot="1">
      <c r="D38" s="611">
        <f>IF(F36=N3,IF(メイン!C46="パターン１",IF(E43=0,2,IF(E43=1,3,IF(E43=2,4,IF(E43&gt;2,5)))),IF(E43=0,1,IF(E43=1,2,IF(E43=2,3,IF(E43=3,4,IF(E43&gt;=4,5)))))),D36)</f>
        <v>3</v>
      </c>
      <c r="E38" s="617" t="s">
        <v>499</v>
      </c>
      <c r="F38" s="616" t="s">
        <v>497</v>
      </c>
      <c r="G38" s="407"/>
      <c r="H38" s="407"/>
      <c r="I38" s="407"/>
      <c r="J38" s="410"/>
    </row>
    <row r="39" spans="1:10" ht="38.450000000000003" customHeight="1">
      <c r="D39" s="507"/>
      <c r="E39" s="508">
        <v>1</v>
      </c>
      <c r="F39" s="958" t="s">
        <v>682</v>
      </c>
      <c r="G39" s="957"/>
      <c r="H39" s="957"/>
      <c r="I39" s="957"/>
      <c r="J39" s="949"/>
    </row>
    <row r="40" spans="1:10" ht="49.15" customHeight="1">
      <c r="D40" s="402" t="s">
        <v>238</v>
      </c>
      <c r="E40" s="509">
        <v>2</v>
      </c>
      <c r="F40" s="956" t="s">
        <v>531</v>
      </c>
      <c r="G40" s="952"/>
      <c r="H40" s="952"/>
      <c r="I40" s="952"/>
      <c r="J40" s="951"/>
    </row>
    <row r="41" spans="1:10" ht="38.450000000000003" customHeight="1">
      <c r="D41" s="402" t="s">
        <v>238</v>
      </c>
      <c r="E41" s="509">
        <v>3</v>
      </c>
      <c r="F41" s="956" t="s">
        <v>683</v>
      </c>
      <c r="G41" s="952"/>
      <c r="H41" s="952"/>
      <c r="I41" s="952"/>
      <c r="J41" s="951"/>
    </row>
    <row r="42" spans="1:10" ht="14.25" thickBot="1">
      <c r="D42" s="612"/>
      <c r="E42" s="510">
        <v>4</v>
      </c>
      <c r="F42" s="985" t="s">
        <v>532</v>
      </c>
      <c r="G42" s="942"/>
      <c r="H42" s="942"/>
      <c r="I42" s="942"/>
      <c r="J42" s="943"/>
    </row>
    <row r="43" spans="1:10" ht="14.25">
      <c r="D43" s="454" t="s">
        <v>262</v>
      </c>
      <c r="E43" s="498">
        <f>COUNTIF(D39:D42,$M$4)</f>
        <v>2</v>
      </c>
      <c r="F43" s="498"/>
      <c r="G43" s="498"/>
      <c r="H43" s="498"/>
      <c r="I43" s="498"/>
      <c r="J43" s="499"/>
    </row>
    <row r="44" spans="1:10"/>
    <row r="45" spans="1:10" ht="15">
      <c r="B45" s="726"/>
      <c r="C45" s="725"/>
      <c r="D45" s="723" t="s">
        <v>906</v>
      </c>
      <c r="J45" s="753" t="str">
        <f>IF(J46=0,$L$3,"")</f>
        <v/>
      </c>
    </row>
    <row r="46" spans="1:10" hidden="1">
      <c r="D46" s="392"/>
      <c r="E46" s="393"/>
      <c r="F46" s="394"/>
      <c r="G46" s="394"/>
      <c r="H46" s="395" t="s">
        <v>480</v>
      </c>
      <c r="I46" s="395"/>
      <c r="J46" s="396">
        <f>スコア!M34</f>
        <v>1</v>
      </c>
    </row>
    <row r="47" spans="1:10">
      <c r="D47" s="641">
        <f>D55</f>
        <v>3</v>
      </c>
      <c r="E47" s="436" t="s">
        <v>351</v>
      </c>
      <c r="F47" s="404"/>
      <c r="G47" s="404"/>
      <c r="H47" s="404"/>
      <c r="I47" s="404"/>
      <c r="J47" s="405"/>
    </row>
    <row r="48" spans="1:10">
      <c r="A48" s="1" t="s">
        <v>440</v>
      </c>
      <c r="D48" s="398" t="str">
        <f>IF(D47=$L$11,$M$6,IF(ROUNDDOWN(D47,0)=$L$6,$N$6,$M$6))</f>
        <v>　レベル　1</v>
      </c>
      <c r="E48" s="668" t="s">
        <v>144</v>
      </c>
      <c r="F48" s="473"/>
      <c r="G48" s="473"/>
      <c r="H48" s="473"/>
      <c r="I48" s="473"/>
      <c r="J48" s="408"/>
    </row>
    <row r="49" spans="1:10">
      <c r="A49" s="1">
        <v>2</v>
      </c>
      <c r="D49" s="398" t="str">
        <f>IF(D47=$L$11,$M$7,IF(ROUNDDOWN(D47,0)=$L$7,$N$7,$M$7))</f>
        <v>　レベル　2</v>
      </c>
      <c r="E49" s="668" t="s">
        <v>533</v>
      </c>
      <c r="F49" s="472"/>
      <c r="G49" s="472"/>
      <c r="H49" s="472"/>
      <c r="I49" s="472"/>
      <c r="J49" s="475"/>
    </row>
    <row r="50" spans="1:10">
      <c r="A50" s="1">
        <v>3</v>
      </c>
      <c r="D50" s="398" t="str">
        <f>IF(D47=$L$11,$M$8,IF(ROUNDDOWN(D47,0)=$L$8,$N$8,$M$8))</f>
        <v>■レベル　3</v>
      </c>
      <c r="E50" s="668" t="s">
        <v>534</v>
      </c>
      <c r="F50" s="472"/>
      <c r="G50" s="472"/>
      <c r="H50" s="472"/>
      <c r="I50" s="472"/>
      <c r="J50" s="475"/>
    </row>
    <row r="51" spans="1:10">
      <c r="A51" s="1">
        <v>4</v>
      </c>
      <c r="D51" s="398" t="str">
        <f>IF(D47=$L$11,$M$9,IF(ROUNDDOWN(D47,0)=$L$9,$N$9,$M$9))</f>
        <v>　レベル　4</v>
      </c>
      <c r="E51" s="668" t="s">
        <v>535</v>
      </c>
      <c r="F51" s="472"/>
      <c r="G51" s="472"/>
      <c r="H51" s="472"/>
      <c r="I51" s="472"/>
      <c r="J51" s="475"/>
    </row>
    <row r="52" spans="1:10">
      <c r="A52" s="1">
        <v>5</v>
      </c>
      <c r="D52" s="399" t="str">
        <f>IF(D47=$L$11,$M$10,IF(ROUNDDOWN(D47,0)=$L$10,$N$10,$M$10))</f>
        <v>　レベル　5</v>
      </c>
      <c r="E52" s="650" t="s">
        <v>536</v>
      </c>
      <c r="F52" s="474"/>
      <c r="G52" s="474"/>
      <c r="H52" s="474"/>
      <c r="I52" s="474"/>
      <c r="J52" s="409"/>
    </row>
    <row r="53" spans="1:10" ht="14.25" hidden="1" thickBot="1">
      <c r="A53" s="1" t="s">
        <v>440</v>
      </c>
      <c r="D53" s="397">
        <v>0</v>
      </c>
      <c r="E53" s="730" t="s">
        <v>237</v>
      </c>
      <c r="F53" s="451" t="s">
        <v>259</v>
      </c>
    </row>
    <row r="54" spans="1:10">
      <c r="D54" s="731" t="s">
        <v>816</v>
      </c>
    </row>
    <row r="55" spans="1:10" ht="14.25" thickBot="1">
      <c r="D55" s="611">
        <f>IF(F53=$N$3,IF(E61=0,2,IF(E61=1,3,IF(E61=2,4,IF(E61&gt;=3,5)))),D53)</f>
        <v>3</v>
      </c>
      <c r="E55" s="617" t="s">
        <v>467</v>
      </c>
      <c r="F55" s="616" t="s">
        <v>497</v>
      </c>
      <c r="G55" s="407"/>
      <c r="H55" s="407"/>
      <c r="I55" s="407"/>
      <c r="J55" s="410"/>
    </row>
    <row r="56" spans="1:10">
      <c r="D56" s="507"/>
      <c r="E56" s="508">
        <v>1</v>
      </c>
      <c r="F56" s="709" t="s">
        <v>907</v>
      </c>
      <c r="G56" s="671"/>
      <c r="H56" s="671"/>
      <c r="I56" s="671"/>
      <c r="J56" s="555"/>
    </row>
    <row r="57" spans="1:10">
      <c r="D57" s="402" t="s">
        <v>238</v>
      </c>
      <c r="E57" s="509">
        <v>2</v>
      </c>
      <c r="F57" s="710" t="s">
        <v>908</v>
      </c>
      <c r="G57" s="564"/>
      <c r="H57" s="564"/>
      <c r="I57" s="564"/>
      <c r="J57" s="565"/>
    </row>
    <row r="58" spans="1:10">
      <c r="D58" s="402"/>
      <c r="E58" s="509">
        <v>3</v>
      </c>
      <c r="F58" s="710" t="s">
        <v>909</v>
      </c>
      <c r="G58" s="564"/>
      <c r="H58" s="564"/>
      <c r="I58" s="564"/>
      <c r="J58" s="565"/>
    </row>
    <row r="59" spans="1:10">
      <c r="D59" s="402"/>
      <c r="E59" s="509">
        <v>4</v>
      </c>
      <c r="F59" s="710" t="s">
        <v>537</v>
      </c>
      <c r="G59" s="564"/>
      <c r="H59" s="564"/>
      <c r="I59" s="564"/>
      <c r="J59" s="565"/>
    </row>
    <row r="60" spans="1:10" ht="14.25" thickBot="1">
      <c r="D60" s="612"/>
      <c r="E60" s="510">
        <v>5</v>
      </c>
      <c r="F60" s="711" t="s">
        <v>140</v>
      </c>
      <c r="G60" s="638"/>
      <c r="H60" s="638"/>
      <c r="I60" s="638"/>
      <c r="J60" s="639"/>
    </row>
    <row r="61" spans="1:10" ht="14.25">
      <c r="D61" s="454" t="s">
        <v>262</v>
      </c>
      <c r="E61" s="498">
        <f>COUNTIF(D56:D60,$M$4)</f>
        <v>1</v>
      </c>
      <c r="F61" s="498"/>
      <c r="G61" s="498"/>
      <c r="H61" s="498"/>
      <c r="I61" s="498"/>
      <c r="J61" s="499"/>
    </row>
    <row r="62" spans="1:10"/>
    <row r="63" spans="1:10" ht="15">
      <c r="B63" s="726">
        <v>2</v>
      </c>
      <c r="C63" s="725" t="s">
        <v>423</v>
      </c>
      <c r="D63" s="723"/>
      <c r="J63" s="753"/>
    </row>
    <row r="64" spans="1:10" ht="15.75" thickBot="1">
      <c r="B64" s="726">
        <v>2.1</v>
      </c>
      <c r="C64" s="725" t="s">
        <v>435</v>
      </c>
      <c r="D64" s="723"/>
      <c r="J64" s="753" t="str">
        <f>IF(J65=0,$L$3,"")</f>
        <v/>
      </c>
    </row>
    <row r="65" spans="1:10" ht="14.25" hidden="1" thickBot="1">
      <c r="D65" s="392"/>
      <c r="E65" s="393"/>
      <c r="F65" s="394"/>
      <c r="G65" s="394"/>
      <c r="H65" s="395" t="s">
        <v>480</v>
      </c>
      <c r="I65" s="395"/>
      <c r="J65" s="396">
        <f>スコア!M36</f>
        <v>1</v>
      </c>
    </row>
    <row r="66" spans="1:10" ht="14.25" thickBot="1">
      <c r="D66" s="397">
        <v>3</v>
      </c>
      <c r="E66" s="436" t="s">
        <v>351</v>
      </c>
      <c r="F66" s="404"/>
      <c r="G66" s="404"/>
      <c r="H66" s="404"/>
      <c r="I66" s="404"/>
      <c r="J66" s="405"/>
    </row>
    <row r="67" spans="1:10">
      <c r="A67" s="1">
        <v>1</v>
      </c>
      <c r="D67" s="450" t="str">
        <f>IF(D66=$L$11,$M$6,IF(ROUNDDOWN(D66,0)=$L$6,$N$6,$M$6))</f>
        <v>　レベル　1</v>
      </c>
      <c r="E67" s="667" t="s">
        <v>13</v>
      </c>
      <c r="F67" s="473"/>
      <c r="G67" s="473"/>
      <c r="H67" s="473"/>
      <c r="I67" s="473"/>
      <c r="J67" s="408"/>
    </row>
    <row r="68" spans="1:10">
      <c r="A68" s="1" t="s">
        <v>440</v>
      </c>
      <c r="D68" s="398" t="str">
        <f>IF(D66=$L$11,$M$7,IF(ROUNDDOWN(D66,0)=$L$7,$N$7,$M$7))</f>
        <v>　レベル　2</v>
      </c>
      <c r="E68" s="668" t="s">
        <v>144</v>
      </c>
      <c r="F68" s="472"/>
      <c r="G68" s="472"/>
      <c r="H68" s="472"/>
      <c r="I68" s="472"/>
      <c r="J68" s="475"/>
    </row>
    <row r="69" spans="1:10" ht="25.9" customHeight="1">
      <c r="A69" s="1">
        <v>3</v>
      </c>
      <c r="D69" s="398" t="str">
        <f>IF(D66=$L$11,$M$8,IF(ROUNDDOWN(D66,0)=$L$8,$N$8,$M$8))</f>
        <v>■レベル　3</v>
      </c>
      <c r="E69" s="950" t="s">
        <v>706</v>
      </c>
      <c r="F69" s="952"/>
      <c r="G69" s="952"/>
      <c r="H69" s="952"/>
      <c r="I69" s="952"/>
      <c r="J69" s="951"/>
    </row>
    <row r="70" spans="1:10" ht="25.9" customHeight="1">
      <c r="A70" s="1">
        <v>4</v>
      </c>
      <c r="D70" s="398" t="str">
        <f>IF(D66=$L$11,$M$9,IF(ROUNDDOWN(D66,0)=$L$9,$N$9,$M$9))</f>
        <v>　レベル　4</v>
      </c>
      <c r="E70" s="950" t="s">
        <v>707</v>
      </c>
      <c r="F70" s="987"/>
      <c r="G70" s="987"/>
      <c r="H70" s="987"/>
      <c r="I70" s="987"/>
      <c r="J70" s="988"/>
    </row>
    <row r="71" spans="1:10" ht="25.9" customHeight="1">
      <c r="A71" s="1">
        <v>5</v>
      </c>
      <c r="D71" s="399" t="str">
        <f>IF(D66=$L$11,$M$10,IF(ROUNDDOWN(D66,0)=$L$10,$N$10,$M$10))</f>
        <v>　レベル　5</v>
      </c>
      <c r="E71" s="941" t="s">
        <v>708</v>
      </c>
      <c r="F71" s="989"/>
      <c r="G71" s="989"/>
      <c r="H71" s="989"/>
      <c r="I71" s="989"/>
      <c r="J71" s="990"/>
    </row>
    <row r="72" spans="1:10">
      <c r="A72" s="1" t="s">
        <v>440</v>
      </c>
    </row>
    <row r="73" spans="1:10" ht="15.75" thickBot="1">
      <c r="B73" s="726">
        <v>2.2000000000000002</v>
      </c>
      <c r="C73" s="725" t="s">
        <v>436</v>
      </c>
      <c r="D73" s="723"/>
      <c r="J73" s="753" t="str">
        <f>IF(J74=0,$L$3,"")</f>
        <v/>
      </c>
    </row>
    <row r="74" spans="1:10" ht="14.25" hidden="1" thickBot="1">
      <c r="D74" s="392"/>
      <c r="E74" s="393"/>
      <c r="F74" s="394"/>
      <c r="G74" s="394"/>
      <c r="H74" s="395" t="s">
        <v>480</v>
      </c>
      <c r="I74" s="395"/>
      <c r="J74" s="396">
        <f>スコア!M37</f>
        <v>1</v>
      </c>
    </row>
    <row r="75" spans="1:10" ht="14.25" thickBot="1">
      <c r="D75" s="397">
        <v>3</v>
      </c>
      <c r="E75" s="436" t="s">
        <v>351</v>
      </c>
      <c r="F75" s="404"/>
      <c r="G75" s="404"/>
      <c r="H75" s="404"/>
      <c r="I75" s="404"/>
      <c r="J75" s="405"/>
    </row>
    <row r="76" spans="1:10">
      <c r="A76" s="1" t="s">
        <v>201</v>
      </c>
      <c r="D76" s="450" t="str">
        <f>IF(D75=$L$11,$M$6,IF(ROUNDDOWN(D75,0)=$L$6,$N$6,$M$6))</f>
        <v>　レベル　1</v>
      </c>
      <c r="E76" s="667" t="s">
        <v>144</v>
      </c>
      <c r="F76" s="473"/>
      <c r="G76" s="473"/>
      <c r="H76" s="473"/>
      <c r="I76" s="473"/>
      <c r="J76" s="408"/>
    </row>
    <row r="77" spans="1:10">
      <c r="A77" s="1">
        <v>2</v>
      </c>
      <c r="D77" s="398" t="str">
        <f>IF(D75=$L$11,$M$7,IF(ROUNDDOWN(D75,0)=$L$7,$N$7,$M$7))</f>
        <v>　レベル　2</v>
      </c>
      <c r="E77" s="668" t="s">
        <v>709</v>
      </c>
      <c r="F77" s="472"/>
      <c r="G77" s="472"/>
      <c r="H77" s="472"/>
      <c r="I77" s="472"/>
      <c r="J77" s="475"/>
    </row>
    <row r="78" spans="1:10" ht="27" customHeight="1">
      <c r="A78" s="1">
        <v>3</v>
      </c>
      <c r="D78" s="398" t="str">
        <f>IF(D75=$L$11,$M$8,IF(ROUNDDOWN(D75,0)=$L$8,$N$8,$M$8))</f>
        <v>■レベル　3</v>
      </c>
      <c r="E78" s="950" t="s">
        <v>710</v>
      </c>
      <c r="F78" s="952"/>
      <c r="G78" s="952"/>
      <c r="H78" s="952"/>
      <c r="I78" s="952"/>
      <c r="J78" s="951"/>
    </row>
    <row r="79" spans="1:10">
      <c r="A79" s="1">
        <v>4</v>
      </c>
      <c r="D79" s="398" t="str">
        <f>IF(D75=$L$11,$M$9,IF(ROUNDDOWN(D75,0)=$L$9,$N$9,$M$9))</f>
        <v>　レベル　4</v>
      </c>
      <c r="E79" s="553" t="s">
        <v>711</v>
      </c>
      <c r="F79" s="472"/>
      <c r="G79" s="472"/>
      <c r="H79" s="472"/>
      <c r="I79" s="472"/>
      <c r="J79" s="475"/>
    </row>
    <row r="80" spans="1:10" ht="27" customHeight="1">
      <c r="A80" s="1">
        <v>5</v>
      </c>
      <c r="D80" s="399" t="str">
        <f>IF(D75=$L$11,$M$10,IF(ROUNDDOWN(D75,0)=$L$10,$N$10,$M$10))</f>
        <v>　レベル　5</v>
      </c>
      <c r="E80" s="941" t="s">
        <v>712</v>
      </c>
      <c r="F80" s="942"/>
      <c r="G80" s="942"/>
      <c r="H80" s="942"/>
      <c r="I80" s="942"/>
      <c r="J80" s="943"/>
    </row>
    <row r="81" spans="1:10">
      <c r="A81" s="1" t="s">
        <v>440</v>
      </c>
    </row>
    <row r="82" spans="1:10" ht="15">
      <c r="B82" s="726">
        <v>2.2999999999999998</v>
      </c>
      <c r="C82" s="725" t="s">
        <v>437</v>
      </c>
      <c r="D82" s="723"/>
      <c r="J82" s="753" t="str">
        <f>IF(J83=0,$L$3,"")</f>
        <v/>
      </c>
    </row>
    <row r="83" spans="1:10" hidden="1">
      <c r="D83" s="392"/>
      <c r="E83" s="393"/>
      <c r="F83" s="394"/>
      <c r="G83" s="394"/>
      <c r="H83" s="395" t="s">
        <v>480</v>
      </c>
      <c r="I83" s="395"/>
      <c r="J83" s="396">
        <f>スコア!M38</f>
        <v>1</v>
      </c>
    </row>
    <row r="84" spans="1:10">
      <c r="D84" s="641">
        <f>D92</f>
        <v>3</v>
      </c>
      <c r="E84" s="404" t="s">
        <v>351</v>
      </c>
      <c r="F84" s="404"/>
      <c r="G84" s="404"/>
      <c r="H84" s="404"/>
      <c r="I84" s="404"/>
      <c r="J84" s="500" t="s">
        <v>388</v>
      </c>
    </row>
    <row r="85" spans="1:10">
      <c r="A85" s="1" t="s">
        <v>201</v>
      </c>
      <c r="D85" s="398" t="str">
        <f>IF(D84=$L$11,$M$6,IF(ROUNDDOWN(D84,0)=$L$6,$N$6,$M$6))</f>
        <v>　レベル　1</v>
      </c>
      <c r="E85" s="667" t="s">
        <v>144</v>
      </c>
      <c r="F85" s="473"/>
      <c r="G85" s="473"/>
      <c r="H85" s="473"/>
      <c r="I85" s="473"/>
      <c r="J85" s="953" t="s">
        <v>409</v>
      </c>
    </row>
    <row r="86" spans="1:10">
      <c r="A86" s="1">
        <v>2</v>
      </c>
      <c r="D86" s="398" t="str">
        <f>IF(D84=$L$11,$M$7,IF(ROUNDDOWN(D84,0)=$L$7,$N$7,$M$7))</f>
        <v>　レベル　2</v>
      </c>
      <c r="E86" s="668" t="s">
        <v>562</v>
      </c>
      <c r="F86" s="472"/>
      <c r="G86" s="472"/>
      <c r="H86" s="472"/>
      <c r="I86" s="472"/>
      <c r="J86" s="954"/>
    </row>
    <row r="87" spans="1:10">
      <c r="A87" s="1">
        <v>3</v>
      </c>
      <c r="D87" s="398" t="str">
        <f>IF(D84=$L$11,$M$8,IF(ROUNDDOWN(D84,0)=$L$8,$N$8,$M$8))</f>
        <v>■レベル　3</v>
      </c>
      <c r="E87" s="668" t="s">
        <v>563</v>
      </c>
      <c r="F87" s="472"/>
      <c r="G87" s="472"/>
      <c r="H87" s="472"/>
      <c r="I87" s="472"/>
      <c r="J87" s="954"/>
    </row>
    <row r="88" spans="1:10" ht="24.6" customHeight="1">
      <c r="A88" s="1">
        <v>4</v>
      </c>
      <c r="D88" s="398" t="str">
        <f>IF(D84=$L$11,$M$9,IF(ROUNDDOWN(D84,0)=$L$9,$N$9,$M$9))</f>
        <v>　レベル　4</v>
      </c>
      <c r="E88" s="950" t="s">
        <v>564</v>
      </c>
      <c r="F88" s="952"/>
      <c r="G88" s="952"/>
      <c r="H88" s="952"/>
      <c r="I88" s="951"/>
      <c r="J88" s="954"/>
    </row>
    <row r="89" spans="1:10" ht="38.450000000000003" customHeight="1" thickBot="1">
      <c r="A89" s="1">
        <v>5</v>
      </c>
      <c r="D89" s="399" t="str">
        <f>IF(D84=$L$11,$M$10,IF(ROUNDDOWN(D84,0)=$L$10,$N$10,$M$10))</f>
        <v>　レベル　5</v>
      </c>
      <c r="E89" s="941" t="s">
        <v>565</v>
      </c>
      <c r="F89" s="942"/>
      <c r="G89" s="942"/>
      <c r="H89" s="942"/>
      <c r="I89" s="943"/>
      <c r="J89" s="955"/>
    </row>
    <row r="90" spans="1:10" ht="14.25" thickBot="1">
      <c r="A90" s="1" t="s">
        <v>440</v>
      </c>
      <c r="D90" s="397">
        <v>0</v>
      </c>
      <c r="E90" s="730" t="s">
        <v>237</v>
      </c>
      <c r="F90" s="451" t="s">
        <v>259</v>
      </c>
    </row>
    <row r="91" spans="1:10">
      <c r="D91" s="731" t="s">
        <v>816</v>
      </c>
    </row>
    <row r="92" spans="1:10" ht="14.25" thickBot="1">
      <c r="D92" s="611">
        <f>IF(F90=$N$3,IF(E99&lt;1,2,IF(E99=1,3,IF(E99=2,4,IF(E99&gt;=3,5)))),D90)</f>
        <v>3</v>
      </c>
      <c r="E92" s="610" t="s">
        <v>467</v>
      </c>
      <c r="F92" s="563"/>
      <c r="G92" s="563"/>
      <c r="H92" s="991" t="s">
        <v>498</v>
      </c>
      <c r="I92" s="992"/>
      <c r="J92" s="993"/>
    </row>
    <row r="93" spans="1:10" ht="25.15" customHeight="1">
      <c r="D93" s="401"/>
      <c r="E93" s="981" t="s">
        <v>713</v>
      </c>
      <c r="F93" s="957"/>
      <c r="G93" s="982"/>
      <c r="H93" s="958" t="s">
        <v>718</v>
      </c>
      <c r="I93" s="957"/>
      <c r="J93" s="949"/>
    </row>
    <row r="94" spans="1:10">
      <c r="D94" s="402"/>
      <c r="E94" s="983" t="s">
        <v>714</v>
      </c>
      <c r="F94" s="952"/>
      <c r="G94" s="984"/>
      <c r="H94" s="956" t="s">
        <v>719</v>
      </c>
      <c r="I94" s="952"/>
      <c r="J94" s="951"/>
    </row>
    <row r="95" spans="1:10">
      <c r="D95" s="402"/>
      <c r="E95" s="983" t="s">
        <v>715</v>
      </c>
      <c r="F95" s="952"/>
      <c r="G95" s="984"/>
      <c r="H95" s="956" t="s">
        <v>720</v>
      </c>
      <c r="I95" s="952"/>
      <c r="J95" s="951"/>
    </row>
    <row r="96" spans="1:10" ht="27.6" customHeight="1">
      <c r="D96" s="402"/>
      <c r="E96" s="983" t="s">
        <v>566</v>
      </c>
      <c r="F96" s="952"/>
      <c r="G96" s="984"/>
      <c r="H96" s="956" t="s">
        <v>721</v>
      </c>
      <c r="I96" s="952"/>
      <c r="J96" s="951"/>
    </row>
    <row r="97" spans="1:10" ht="51.6" customHeight="1">
      <c r="D97" s="402" t="s">
        <v>238</v>
      </c>
      <c r="E97" s="983" t="s">
        <v>716</v>
      </c>
      <c r="F97" s="952"/>
      <c r="G97" s="984"/>
      <c r="H97" s="956" t="s">
        <v>722</v>
      </c>
      <c r="I97" s="952"/>
      <c r="J97" s="951"/>
    </row>
    <row r="98" spans="1:10" ht="37.9" customHeight="1" thickBot="1">
      <c r="D98" s="612"/>
      <c r="E98" s="979" t="s">
        <v>717</v>
      </c>
      <c r="F98" s="942"/>
      <c r="G98" s="980"/>
      <c r="H98" s="985" t="s">
        <v>723</v>
      </c>
      <c r="I98" s="942"/>
      <c r="J98" s="943"/>
    </row>
    <row r="99" spans="1:10" ht="14.25">
      <c r="D99" s="454" t="s">
        <v>262</v>
      </c>
      <c r="E99" s="498">
        <f>COUNTIF(D93:D98,$M$4)</f>
        <v>1</v>
      </c>
      <c r="F99" s="498"/>
      <c r="G99" s="498"/>
      <c r="H99" s="498"/>
      <c r="I99" s="498"/>
      <c r="J99" s="499"/>
    </row>
    <row r="100" spans="1:10"/>
    <row r="101" spans="1:10" ht="15">
      <c r="B101" s="726">
        <v>2.4</v>
      </c>
      <c r="C101" s="725" t="s">
        <v>410</v>
      </c>
      <c r="D101" s="723"/>
      <c r="J101" s="753" t="str">
        <f>IF(J102=0,$L$3,"")</f>
        <v/>
      </c>
    </row>
    <row r="102" spans="1:10" hidden="1">
      <c r="D102" s="392"/>
      <c r="E102" s="393"/>
      <c r="F102" s="394"/>
      <c r="G102" s="394"/>
      <c r="H102" s="395" t="s">
        <v>480</v>
      </c>
      <c r="I102" s="395"/>
      <c r="J102" s="396">
        <f>スコア!M39</f>
        <v>1</v>
      </c>
    </row>
    <row r="103" spans="1:10">
      <c r="D103" s="641">
        <f>D111</f>
        <v>3</v>
      </c>
      <c r="E103" s="651" t="s">
        <v>351</v>
      </c>
      <c r="F103" s="651"/>
      <c r="G103" s="651"/>
      <c r="H103" s="651"/>
      <c r="I103" s="651"/>
      <c r="J103" s="500" t="s">
        <v>388</v>
      </c>
    </row>
    <row r="104" spans="1:10">
      <c r="A104" s="1">
        <v>1</v>
      </c>
      <c r="D104" s="398" t="str">
        <f>IF(D103=$L$11,$M$6,IF(ROUNDDOWN(D103,0)=$L$6,$N$6,$M$6))</f>
        <v>　レベル　1</v>
      </c>
      <c r="E104" s="566" t="s">
        <v>164</v>
      </c>
      <c r="F104" s="567"/>
      <c r="G104" s="567"/>
      <c r="H104" s="567"/>
      <c r="I104" s="567"/>
      <c r="J104" s="953" t="s">
        <v>516</v>
      </c>
    </row>
    <row r="105" spans="1:10">
      <c r="A105" s="1">
        <v>2</v>
      </c>
      <c r="D105" s="398" t="str">
        <f>IF(D103=$L$11,$M$7,IF(ROUNDDOWN(D103,0)=$L$7,$N$7,$M$7))</f>
        <v>　レベル　2</v>
      </c>
      <c r="E105" s="652" t="s">
        <v>468</v>
      </c>
      <c r="F105" s="653"/>
      <c r="G105" s="653"/>
      <c r="H105" s="653"/>
      <c r="I105" s="653"/>
      <c r="J105" s="954"/>
    </row>
    <row r="106" spans="1:10" ht="28.15" customHeight="1">
      <c r="A106" s="1">
        <v>3</v>
      </c>
      <c r="D106" s="398" t="str">
        <f>IF(D103=$L$11,$M$8,IF(ROUNDDOWN(D103,0)=$L$8,$N$8,$M$8))</f>
        <v>■レベル　3</v>
      </c>
      <c r="E106" s="950" t="s">
        <v>724</v>
      </c>
      <c r="F106" s="952"/>
      <c r="G106" s="952"/>
      <c r="H106" s="952"/>
      <c r="I106" s="951"/>
      <c r="J106" s="954"/>
    </row>
    <row r="107" spans="1:10" ht="24.6" customHeight="1">
      <c r="A107" s="1">
        <v>4</v>
      </c>
      <c r="D107" s="398" t="str">
        <f>IF(D103=$L$11,$M$9,IF(ROUNDDOWN(D103,0)=$L$9,$N$9,$M$9))</f>
        <v>　レベル　4</v>
      </c>
      <c r="E107" s="950" t="s">
        <v>1079</v>
      </c>
      <c r="F107" s="952"/>
      <c r="G107" s="952"/>
      <c r="H107" s="952"/>
      <c r="I107" s="951"/>
      <c r="J107" s="954"/>
    </row>
    <row r="108" spans="1:10" ht="14.25" thickBot="1">
      <c r="A108" s="1">
        <v>5</v>
      </c>
      <c r="D108" s="399" t="str">
        <f>IF(D103=$L$11,$M$10,IF(ROUNDDOWN(D103,0)=$L$10,$N$10,$M$10))</f>
        <v>　レベル　5</v>
      </c>
      <c r="E108" s="640" t="s">
        <v>725</v>
      </c>
      <c r="F108" s="712"/>
      <c r="G108" s="712"/>
      <c r="H108" s="712"/>
      <c r="I108" s="713"/>
      <c r="J108" s="955"/>
    </row>
    <row r="109" spans="1:10" ht="14.25" thickBot="1">
      <c r="A109" s="1" t="s">
        <v>440</v>
      </c>
      <c r="D109" s="397">
        <v>0</v>
      </c>
      <c r="E109" s="730" t="s">
        <v>237</v>
      </c>
      <c r="F109" s="451" t="s">
        <v>259</v>
      </c>
    </row>
    <row r="110" spans="1:10">
      <c r="D110" s="731" t="s">
        <v>567</v>
      </c>
    </row>
    <row r="111" spans="1:10" ht="14.25" thickBot="1">
      <c r="D111" s="642">
        <f>IF(F109=$N$3,IF(E123&lt;2,1,IF(E123&lt;5,3,IF(E123&gt;=6,4))),D109)</f>
        <v>3</v>
      </c>
      <c r="E111" s="617" t="s">
        <v>499</v>
      </c>
      <c r="F111" s="616" t="s">
        <v>497</v>
      </c>
      <c r="G111" s="407"/>
      <c r="H111" s="506"/>
      <c r="I111" s="506"/>
      <c r="J111" s="410"/>
    </row>
    <row r="112" spans="1:10">
      <c r="D112" s="401"/>
      <c r="E112" s="508">
        <v>1</v>
      </c>
      <c r="F112" s="473" t="s">
        <v>469</v>
      </c>
      <c r="G112" s="473"/>
      <c r="H112" s="473"/>
      <c r="I112" s="473"/>
      <c r="J112" s="408"/>
    </row>
    <row r="113" spans="2:10">
      <c r="D113" s="402" t="s">
        <v>238</v>
      </c>
      <c r="E113" s="509">
        <v>2</v>
      </c>
      <c r="F113" s="472" t="s">
        <v>470</v>
      </c>
      <c r="G113" s="472"/>
      <c r="H113" s="472"/>
      <c r="I113" s="472"/>
      <c r="J113" s="475"/>
    </row>
    <row r="114" spans="2:10">
      <c r="D114" s="402"/>
      <c r="E114" s="509">
        <v>3</v>
      </c>
      <c r="F114" s="472" t="s">
        <v>726</v>
      </c>
      <c r="G114" s="472"/>
      <c r="H114" s="472"/>
      <c r="I114" s="472"/>
      <c r="J114" s="475"/>
    </row>
    <row r="115" spans="2:10">
      <c r="D115" s="402"/>
      <c r="E115" s="509">
        <v>4</v>
      </c>
      <c r="F115" s="472" t="s">
        <v>471</v>
      </c>
      <c r="G115" s="472"/>
      <c r="H115" s="472"/>
      <c r="I115" s="472"/>
      <c r="J115" s="475"/>
    </row>
    <row r="116" spans="2:10">
      <c r="D116" s="402"/>
      <c r="E116" s="509">
        <v>5</v>
      </c>
      <c r="F116" s="472" t="s">
        <v>472</v>
      </c>
      <c r="G116" s="472"/>
      <c r="H116" s="472"/>
      <c r="I116" s="472"/>
      <c r="J116" s="475"/>
    </row>
    <row r="117" spans="2:10">
      <c r="D117" s="402"/>
      <c r="E117" s="509">
        <v>6</v>
      </c>
      <c r="F117" s="472" t="s">
        <v>473</v>
      </c>
      <c r="G117" s="472"/>
      <c r="H117" s="472"/>
      <c r="I117" s="472"/>
      <c r="J117" s="475"/>
    </row>
    <row r="118" spans="2:10">
      <c r="D118" s="402"/>
      <c r="E118" s="509">
        <v>7</v>
      </c>
      <c r="F118" s="472" t="s">
        <v>474</v>
      </c>
      <c r="G118" s="472"/>
      <c r="H118" s="472"/>
      <c r="I118" s="472"/>
      <c r="J118" s="475"/>
    </row>
    <row r="119" spans="2:10">
      <c r="D119" s="714"/>
      <c r="E119" s="715">
        <v>8</v>
      </c>
      <c r="F119" s="472" t="s">
        <v>302</v>
      </c>
      <c r="G119" s="472"/>
      <c r="H119" s="472"/>
      <c r="I119" s="472"/>
      <c r="J119" s="475"/>
    </row>
    <row r="120" spans="2:10">
      <c r="D120" s="714"/>
      <c r="E120" s="715">
        <v>9</v>
      </c>
      <c r="F120" s="472" t="s">
        <v>301</v>
      </c>
      <c r="G120" s="472"/>
      <c r="H120" s="472"/>
      <c r="I120" s="472"/>
      <c r="J120" s="475"/>
    </row>
    <row r="121" spans="2:10" ht="26.45" customHeight="1">
      <c r="D121" s="714"/>
      <c r="E121" s="715">
        <v>10</v>
      </c>
      <c r="F121" s="956" t="s">
        <v>727</v>
      </c>
      <c r="G121" s="952"/>
      <c r="H121" s="952"/>
      <c r="I121" s="952"/>
      <c r="J121" s="951"/>
    </row>
    <row r="122" spans="2:10" ht="14.25" thickBot="1">
      <c r="D122" s="612" t="s">
        <v>238</v>
      </c>
      <c r="E122" s="510">
        <v>11</v>
      </c>
      <c r="F122" s="472" t="s">
        <v>728</v>
      </c>
      <c r="G122" s="472"/>
      <c r="H122" s="472"/>
      <c r="I122" s="472"/>
      <c r="J122" s="475"/>
    </row>
    <row r="123" spans="2:10" ht="14.25">
      <c r="D123" s="454" t="s">
        <v>262</v>
      </c>
      <c r="E123" s="498">
        <f>COUNTIF(D112:D122,$M$4)</f>
        <v>2</v>
      </c>
      <c r="F123" s="498"/>
      <c r="G123" s="498"/>
      <c r="H123" s="498"/>
      <c r="I123" s="498"/>
      <c r="J123" s="499"/>
    </row>
    <row r="124" spans="2:10"/>
    <row r="125" spans="2:10" ht="15.75" thickBot="1">
      <c r="B125" s="726">
        <v>2.5</v>
      </c>
      <c r="C125" s="725" t="s">
        <v>417</v>
      </c>
      <c r="D125" s="723"/>
      <c r="J125" s="753" t="str">
        <f>IF(J126=0,$L$3,"")</f>
        <v/>
      </c>
    </row>
    <row r="126" spans="2:10" ht="14.25" hidden="1" thickBot="1">
      <c r="D126" s="392"/>
      <c r="E126" s="393"/>
      <c r="F126" s="394"/>
      <c r="G126" s="394"/>
      <c r="H126" s="395" t="s">
        <v>480</v>
      </c>
      <c r="I126" s="395"/>
      <c r="J126" s="396">
        <f>スコア!M40</f>
        <v>1</v>
      </c>
    </row>
    <row r="127" spans="2:10">
      <c r="D127" s="939">
        <v>3</v>
      </c>
      <c r="E127" s="404" t="s">
        <v>351</v>
      </c>
      <c r="F127" s="404"/>
      <c r="G127" s="404"/>
      <c r="H127" s="404"/>
      <c r="I127" s="404"/>
      <c r="J127" s="405"/>
    </row>
    <row r="128" spans="2:10" ht="14.25" thickBot="1">
      <c r="D128" s="940"/>
      <c r="E128" s="947" t="s">
        <v>462</v>
      </c>
      <c r="F128" s="946"/>
      <c r="G128" s="613"/>
      <c r="H128" s="986" t="s">
        <v>463</v>
      </c>
      <c r="I128" s="947"/>
      <c r="J128" s="986"/>
    </row>
    <row r="129" spans="1:10">
      <c r="A129" s="1">
        <v>1</v>
      </c>
      <c r="D129" s="398" t="str">
        <f>IF(D127=$L$11,$M$6,IF(ROUNDDOWN(D127,0)=$L$6,$N$6,$M$6))</f>
        <v>　レベル　1</v>
      </c>
      <c r="E129" s="948" t="s">
        <v>729</v>
      </c>
      <c r="F129" s="957"/>
      <c r="G129" s="949"/>
      <c r="H129" s="948" t="s">
        <v>730</v>
      </c>
      <c r="I129" s="957"/>
      <c r="J129" s="949"/>
    </row>
    <row r="130" spans="1:10" ht="27" customHeight="1">
      <c r="A130" s="1">
        <v>2</v>
      </c>
      <c r="D130" s="398" t="str">
        <f>IF(D127=$L$11,$M$7,IF(ROUNDDOWN(D127,0)=$L$7,$N$7,$M$7))</f>
        <v>　レベル　2</v>
      </c>
      <c r="E130" s="950" t="s">
        <v>568</v>
      </c>
      <c r="F130" s="952"/>
      <c r="G130" s="951"/>
      <c r="H130" s="950" t="s">
        <v>572</v>
      </c>
      <c r="I130" s="952"/>
      <c r="J130" s="951"/>
    </row>
    <row r="131" spans="1:10" ht="37.9" customHeight="1">
      <c r="A131" s="1">
        <v>3</v>
      </c>
      <c r="D131" s="398" t="str">
        <f>IF(D127=$L$11,$M$8,IF(ROUNDDOWN(D127,0)=$L$8,$N$8,$M$8))</f>
        <v>■レベル　3</v>
      </c>
      <c r="E131" s="950" t="s">
        <v>569</v>
      </c>
      <c r="F131" s="952"/>
      <c r="G131" s="951"/>
      <c r="H131" s="950" t="s">
        <v>573</v>
      </c>
      <c r="I131" s="952"/>
      <c r="J131" s="951"/>
    </row>
    <row r="132" spans="1:10" ht="37.9" customHeight="1">
      <c r="A132" s="1">
        <v>4</v>
      </c>
      <c r="D132" s="398" t="str">
        <f>IF(D127=$L$11,$M$9,IF(ROUNDDOWN(D127,0)=$L$9,$N$9,$M$9))</f>
        <v>　レベル　4</v>
      </c>
      <c r="E132" s="950" t="s">
        <v>570</v>
      </c>
      <c r="F132" s="952"/>
      <c r="G132" s="951"/>
      <c r="H132" s="950" t="s">
        <v>574</v>
      </c>
      <c r="I132" s="952"/>
      <c r="J132" s="951"/>
    </row>
    <row r="133" spans="1:10" ht="37.9" customHeight="1">
      <c r="A133" s="1">
        <v>5</v>
      </c>
      <c r="D133" s="399" t="str">
        <f>IF(D127=$L$11,$M$10,IF(ROUNDDOWN(D127,0)=$L$10,$N$10,$M$10))</f>
        <v>　レベル　5</v>
      </c>
      <c r="E133" s="941" t="s">
        <v>571</v>
      </c>
      <c r="F133" s="942"/>
      <c r="G133" s="943"/>
      <c r="H133" s="941" t="s">
        <v>575</v>
      </c>
      <c r="I133" s="942"/>
      <c r="J133" s="943"/>
    </row>
    <row r="134" spans="1:10">
      <c r="A134" s="1" t="s">
        <v>440</v>
      </c>
    </row>
    <row r="135" spans="1:10" ht="15">
      <c r="B135" s="726">
        <v>3</v>
      </c>
      <c r="C135" s="725" t="s">
        <v>419</v>
      </c>
      <c r="D135" s="723"/>
      <c r="J135" s="753"/>
    </row>
    <row r="136" spans="1:10" ht="15.75" thickBot="1">
      <c r="B136" s="726">
        <v>3.1</v>
      </c>
      <c r="C136" s="725" t="s">
        <v>420</v>
      </c>
      <c r="D136" s="723"/>
      <c r="J136" s="753" t="str">
        <f>IF(J137=0,$L$3,"")</f>
        <v/>
      </c>
    </row>
    <row r="137" spans="1:10" ht="14.25" hidden="1" thickBot="1">
      <c r="D137" s="392"/>
      <c r="E137" s="393"/>
      <c r="F137" s="394"/>
      <c r="G137" s="394"/>
      <c r="H137" s="395" t="s">
        <v>480</v>
      </c>
      <c r="I137" s="395"/>
      <c r="J137" s="396">
        <f>スコア!M42</f>
        <v>1</v>
      </c>
    </row>
    <row r="138" spans="1:10" ht="14.25" thickBot="1">
      <c r="D138" s="397">
        <v>3</v>
      </c>
      <c r="E138" s="436" t="s">
        <v>351</v>
      </c>
      <c r="F138" s="404"/>
      <c r="G138" s="404"/>
      <c r="H138" s="404"/>
      <c r="I138" s="404"/>
      <c r="J138" s="405"/>
    </row>
    <row r="139" spans="1:10">
      <c r="A139" s="1" t="s">
        <v>201</v>
      </c>
      <c r="D139" s="450" t="str">
        <f>IF(D138=$L$11,$M$6,IF(ROUNDDOWN(D138,0)=$L$6,$N$6,$M$6))</f>
        <v>　レベル　1</v>
      </c>
      <c r="E139" s="667" t="s">
        <v>144</v>
      </c>
      <c r="F139" s="473"/>
      <c r="G139" s="473"/>
      <c r="H139" s="473"/>
      <c r="I139" s="473"/>
      <c r="J139" s="408"/>
    </row>
    <row r="140" spans="1:10">
      <c r="A140" s="1">
        <v>2</v>
      </c>
      <c r="D140" s="398" t="str">
        <f>IF(D138=$L$11,$M$7,IF(ROUNDDOWN(D138,0)=$L$7,$N$7,$M$7))</f>
        <v>　レベル　2</v>
      </c>
      <c r="E140" s="668" t="s">
        <v>911</v>
      </c>
      <c r="F140" s="472"/>
      <c r="G140" s="472"/>
      <c r="H140" s="472"/>
      <c r="I140" s="472"/>
      <c r="J140" s="475"/>
    </row>
    <row r="141" spans="1:10">
      <c r="A141" s="1">
        <v>3</v>
      </c>
      <c r="D141" s="398" t="str">
        <f>IF(D138=$L$11,$M$8,IF(ROUNDDOWN(D138,0)=$L$8,$N$8,$M$8))</f>
        <v>■レベル　3</v>
      </c>
      <c r="E141" s="668" t="s">
        <v>1011</v>
      </c>
      <c r="F141" s="472"/>
      <c r="G141" s="472"/>
      <c r="H141" s="472"/>
      <c r="I141" s="472"/>
      <c r="J141" s="475"/>
    </row>
    <row r="142" spans="1:10">
      <c r="A142" s="1">
        <v>4</v>
      </c>
      <c r="D142" s="398" t="str">
        <f>IF(D138=$L$11,$M$9,IF(ROUNDDOWN(D138,0)=$L$9,$N$9,$M$9))</f>
        <v>　レベル　4</v>
      </c>
      <c r="E142" s="668" t="s">
        <v>1073</v>
      </c>
      <c r="F142" s="472"/>
      <c r="G142" s="472"/>
      <c r="H142" s="472"/>
      <c r="I142" s="472"/>
      <c r="J142" s="475"/>
    </row>
    <row r="143" spans="1:10">
      <c r="A143" s="1">
        <v>5</v>
      </c>
      <c r="D143" s="399" t="str">
        <f>IF(D138=$L$11,$M$10,IF(ROUNDDOWN(D138,0)=$L$10,$N$10,$M$10))</f>
        <v>　レベル　5</v>
      </c>
      <c r="E143" s="941" t="s">
        <v>912</v>
      </c>
      <c r="F143" s="942"/>
      <c r="G143" s="942"/>
      <c r="H143" s="942"/>
      <c r="I143" s="942"/>
      <c r="J143" s="943"/>
    </row>
    <row r="144" spans="1:10">
      <c r="A144" s="1" t="s">
        <v>440</v>
      </c>
      <c r="E144" s="3"/>
    </row>
    <row r="145" spans="1:10" ht="15.75" thickBot="1">
      <c r="B145" s="726">
        <v>3.2</v>
      </c>
      <c r="C145" s="725" t="s">
        <v>421</v>
      </c>
      <c r="D145" s="723"/>
      <c r="J145" s="753" t="str">
        <f>IF(J146=0,$L$3,"")</f>
        <v/>
      </c>
    </row>
    <row r="146" spans="1:10" ht="14.25" hidden="1" thickBot="1">
      <c r="D146" s="392"/>
      <c r="E146" s="393"/>
      <c r="F146" s="394"/>
      <c r="G146" s="394"/>
      <c r="H146" s="395" t="s">
        <v>480</v>
      </c>
      <c r="I146" s="395"/>
      <c r="J146" s="396">
        <f>スコア!M43</f>
        <v>1</v>
      </c>
    </row>
    <row r="147" spans="1:10" ht="14.25" thickBot="1">
      <c r="D147" s="397">
        <v>3</v>
      </c>
      <c r="E147" s="436" t="s">
        <v>351</v>
      </c>
      <c r="F147" s="404"/>
      <c r="G147" s="404"/>
      <c r="H147" s="404"/>
      <c r="I147" s="404"/>
      <c r="J147" s="405"/>
    </row>
    <row r="148" spans="1:10">
      <c r="A148" s="1" t="s">
        <v>201</v>
      </c>
      <c r="D148" s="450" t="str">
        <f>IF(D147=$L$11,$M$6,IF(ROUNDDOWN(D147,0)=$L$6,$N$6,$M$6))</f>
        <v>　レベル　1</v>
      </c>
      <c r="E148" s="667" t="s">
        <v>144</v>
      </c>
      <c r="F148" s="473"/>
      <c r="G148" s="473"/>
      <c r="H148" s="473"/>
      <c r="I148" s="473"/>
      <c r="J148" s="408"/>
    </row>
    <row r="149" spans="1:10">
      <c r="A149" s="1">
        <v>2</v>
      </c>
      <c r="D149" s="398" t="str">
        <f>IF(D147=$L$11,$M$7,IF(ROUNDDOWN(D147,0)=$L$7,$N$7,$M$7))</f>
        <v>　レベル　2</v>
      </c>
      <c r="E149" s="668" t="s">
        <v>586</v>
      </c>
      <c r="F149" s="472"/>
      <c r="G149" s="472"/>
      <c r="H149" s="472"/>
      <c r="I149" s="472"/>
      <c r="J149" s="475"/>
    </row>
    <row r="150" spans="1:10">
      <c r="A150" s="1">
        <v>3</v>
      </c>
      <c r="D150" s="398" t="str">
        <f>IF(D147=$L$11,$M$8,IF(ROUNDDOWN(D147,0)=$L$8,$N$8,$M$8))</f>
        <v>■レベル　3</v>
      </c>
      <c r="E150" s="668" t="s">
        <v>587</v>
      </c>
      <c r="F150" s="472"/>
      <c r="G150" s="472"/>
      <c r="H150" s="472"/>
      <c r="I150" s="472"/>
      <c r="J150" s="475"/>
    </row>
    <row r="151" spans="1:10">
      <c r="A151" s="1" t="s">
        <v>201</v>
      </c>
      <c r="D151" s="398" t="str">
        <f>IF(D147=$L$11,$M$9,IF(ROUNDDOWN(D147,0)=$L$9,$N$9,$M$9))</f>
        <v>　レベル　4</v>
      </c>
      <c r="E151" s="668" t="s">
        <v>144</v>
      </c>
      <c r="F151" s="472"/>
      <c r="G151" s="472"/>
      <c r="H151" s="472"/>
      <c r="I151" s="472"/>
      <c r="J151" s="475"/>
    </row>
    <row r="152" spans="1:10" ht="27.6" customHeight="1">
      <c r="A152" s="1">
        <v>5</v>
      </c>
      <c r="D152" s="399" t="str">
        <f>IF(D147=$L$11,$M$10,IF(ROUNDDOWN(D147,0)=$L$10,$N$10,$M$10))</f>
        <v>　レベル　5</v>
      </c>
      <c r="E152" s="941" t="s">
        <v>588</v>
      </c>
      <c r="F152" s="942"/>
      <c r="G152" s="942"/>
      <c r="H152" s="942"/>
      <c r="I152" s="942"/>
      <c r="J152" s="943"/>
    </row>
    <row r="153" spans="1:10">
      <c r="A153" s="1" t="s">
        <v>440</v>
      </c>
    </row>
    <row r="154" spans="1:10" ht="15">
      <c r="B154" s="726">
        <v>4</v>
      </c>
      <c r="C154" s="725" t="s">
        <v>132</v>
      </c>
      <c r="D154" s="723"/>
      <c r="J154" s="753"/>
    </row>
    <row r="155" spans="1:10" ht="15.75" thickBot="1">
      <c r="B155" s="726">
        <v>4.0999999999999996</v>
      </c>
      <c r="C155" s="725" t="s">
        <v>508</v>
      </c>
      <c r="D155" s="723"/>
      <c r="J155" s="753" t="str">
        <f>IF(J156=0,$L$3,"")</f>
        <v/>
      </c>
    </row>
    <row r="156" spans="1:10" ht="14.25" hidden="1" thickBot="1">
      <c r="D156" s="392"/>
      <c r="E156" s="393"/>
      <c r="F156" s="394"/>
      <c r="G156" s="394"/>
      <c r="H156" s="395" t="s">
        <v>480</v>
      </c>
      <c r="I156" s="395"/>
      <c r="J156" s="396">
        <f>スコア!M45</f>
        <v>1</v>
      </c>
    </row>
    <row r="157" spans="1:10" ht="14.25" thickBot="1">
      <c r="D157" s="397">
        <v>3</v>
      </c>
      <c r="E157" s="436" t="s">
        <v>351</v>
      </c>
      <c r="F157" s="404"/>
      <c r="G157" s="404"/>
      <c r="H157" s="404"/>
      <c r="I157" s="404"/>
      <c r="J157" s="405"/>
    </row>
    <row r="158" spans="1:10">
      <c r="A158" s="1">
        <v>1</v>
      </c>
      <c r="D158" s="450" t="str">
        <f>IF(D157=$L$11,$M$6,IF(ROUNDDOWN(D157,0)=$L$6,$N$6,$M$6))</f>
        <v>　レベル　1</v>
      </c>
      <c r="E158" s="667" t="s">
        <v>133</v>
      </c>
      <c r="F158" s="473"/>
      <c r="G158" s="473"/>
      <c r="H158" s="473"/>
      <c r="I158" s="473"/>
      <c r="J158" s="408"/>
    </row>
    <row r="159" spans="1:10">
      <c r="A159" s="1" t="s">
        <v>440</v>
      </c>
      <c r="D159" s="398" t="str">
        <f>IF(D157=$L$11,$M$7,IF(ROUNDDOWN(D157,0)=$L$7,$N$7,$M$7))</f>
        <v>　レベル　2</v>
      </c>
      <c r="E159" s="668" t="s">
        <v>144</v>
      </c>
      <c r="F159" s="472"/>
      <c r="G159" s="472"/>
      <c r="H159" s="472"/>
      <c r="I159" s="472"/>
      <c r="J159" s="475"/>
    </row>
    <row r="160" spans="1:10">
      <c r="A160" s="1">
        <v>3</v>
      </c>
      <c r="D160" s="398" t="str">
        <f>IF(D157=$L$11,$M$8,IF(ROUNDDOWN(D157,0)=$L$8,$N$8,$M$8))</f>
        <v>■レベル　3</v>
      </c>
      <c r="E160" s="668" t="s">
        <v>309</v>
      </c>
      <c r="F160" s="472"/>
      <c r="G160" s="472"/>
      <c r="H160" s="472"/>
      <c r="I160" s="472"/>
      <c r="J160" s="475"/>
    </row>
    <row r="161" spans="1:10">
      <c r="A161" s="1">
        <v>4</v>
      </c>
      <c r="D161" s="398" t="str">
        <f>IF(D157=$L$11,$M$9,IF(ROUNDDOWN(D157,0)=$L$9,$N$9,$M$9))</f>
        <v>　レベル　4</v>
      </c>
      <c r="E161" s="668" t="s">
        <v>308</v>
      </c>
      <c r="F161" s="472"/>
      <c r="G161" s="472"/>
      <c r="H161" s="472"/>
      <c r="I161" s="472"/>
      <c r="J161" s="475"/>
    </row>
    <row r="162" spans="1:10">
      <c r="A162" s="1">
        <v>5</v>
      </c>
      <c r="D162" s="399" t="str">
        <f>IF(D157=$L$11,$M$10,IF(ROUNDDOWN(D157,0)=$L$10,$N$10,$M$10))</f>
        <v>　レベル　5</v>
      </c>
      <c r="E162" s="650" t="s">
        <v>118</v>
      </c>
      <c r="F162" s="474"/>
      <c r="G162" s="474"/>
      <c r="H162" s="474"/>
      <c r="I162" s="474"/>
      <c r="J162" s="409"/>
    </row>
    <row r="163" spans="1:10">
      <c r="A163" s="1" t="s">
        <v>440</v>
      </c>
    </row>
    <row r="164" spans="1:10" ht="15.75" thickBot="1">
      <c r="B164" s="726">
        <v>4.2</v>
      </c>
      <c r="C164" s="725" t="s">
        <v>432</v>
      </c>
      <c r="D164" s="723"/>
      <c r="J164" s="753" t="str">
        <f>IF(J165=0,$L$3,"")</f>
        <v/>
      </c>
    </row>
    <row r="165" spans="1:10" ht="14.25" hidden="1" thickBot="1">
      <c r="D165" s="392"/>
      <c r="E165" s="393"/>
      <c r="F165" s="394"/>
      <c r="G165" s="394"/>
      <c r="H165" s="395" t="s">
        <v>480</v>
      </c>
      <c r="I165" s="395"/>
      <c r="J165" s="396">
        <f>スコア!M46</f>
        <v>1</v>
      </c>
    </row>
    <row r="166" spans="1:10">
      <c r="D166" s="939">
        <v>3</v>
      </c>
      <c r="E166" s="614" t="s">
        <v>351</v>
      </c>
      <c r="F166" s="614"/>
      <c r="G166" s="614"/>
      <c r="H166" s="614"/>
      <c r="I166" s="614"/>
      <c r="J166" s="615"/>
    </row>
    <row r="167" spans="1:10" ht="14.25" thickBot="1">
      <c r="D167" s="940"/>
      <c r="E167" s="947" t="s">
        <v>462</v>
      </c>
      <c r="F167" s="946"/>
      <c r="G167" s="613"/>
      <c r="H167" s="986" t="s">
        <v>463</v>
      </c>
      <c r="I167" s="947"/>
      <c r="J167" s="986"/>
    </row>
    <row r="168" spans="1:10">
      <c r="A168" s="1">
        <v>1</v>
      </c>
      <c r="D168" s="398" t="str">
        <f>IF(D166=$L$11,$M$6,IF(ROUNDDOWN(D166,0)=$L$6,$N$6,$M$6))</f>
        <v>　レベル　1</v>
      </c>
      <c r="E168" s="566" t="s">
        <v>307</v>
      </c>
      <c r="F168" s="567"/>
      <c r="G168" s="567"/>
      <c r="H168" s="567"/>
      <c r="I168" s="567"/>
      <c r="J168" s="705"/>
    </row>
    <row r="169" spans="1:10">
      <c r="A169" s="1" t="s">
        <v>440</v>
      </c>
      <c r="D169" s="398" t="str">
        <f>IF(D166=$L$11,$M$7,IF(ROUNDDOWN(D166,0)=$L$7,$N$7,$M$7))</f>
        <v>　レベル　2</v>
      </c>
      <c r="E169" s="652" t="s">
        <v>144</v>
      </c>
      <c r="F169" s="653"/>
      <c r="G169" s="653"/>
      <c r="H169" s="653"/>
      <c r="I169" s="653"/>
      <c r="J169" s="700"/>
    </row>
    <row r="170" spans="1:10">
      <c r="A170" s="1">
        <v>3</v>
      </c>
      <c r="D170" s="398" t="str">
        <f>IF(D166=$L$11,$M$8,IF(ROUNDDOWN(D166,0)=$L$8,$N$8,$M$8))</f>
        <v>■レベル　3</v>
      </c>
      <c r="E170" s="652" t="s">
        <v>306</v>
      </c>
      <c r="F170" s="653"/>
      <c r="G170" s="653"/>
      <c r="H170" s="653"/>
      <c r="I170" s="653"/>
      <c r="J170" s="700"/>
    </row>
    <row r="171" spans="1:10">
      <c r="A171" s="1">
        <v>4</v>
      </c>
      <c r="D171" s="398" t="str">
        <f>IF(D166=$L$11,$M$9,IF(ROUNDDOWN(D166,0)=$L$9,$N$9,$M$9))</f>
        <v>　レベル　4</v>
      </c>
      <c r="E171" s="652" t="s">
        <v>693</v>
      </c>
      <c r="F171" s="653"/>
      <c r="G171" s="653"/>
      <c r="H171" s="653"/>
      <c r="I171" s="653"/>
      <c r="J171" s="700"/>
    </row>
    <row r="172" spans="1:10" ht="37.15" customHeight="1">
      <c r="A172" s="1">
        <v>5</v>
      </c>
      <c r="D172" s="399" t="str">
        <f>IF(D166=$L$11,$M$10,IF(ROUNDDOWN(D166,0)=$L$10,$N$10,$M$10))</f>
        <v>　レベル　5</v>
      </c>
      <c r="E172" s="941" t="s">
        <v>694</v>
      </c>
      <c r="F172" s="942"/>
      <c r="G172" s="561"/>
      <c r="H172" s="941" t="s">
        <v>695</v>
      </c>
      <c r="I172" s="942"/>
      <c r="J172" s="943"/>
    </row>
    <row r="173" spans="1:10">
      <c r="A173" s="1" t="s">
        <v>440</v>
      </c>
    </row>
    <row r="174" spans="1:10" ht="15">
      <c r="B174" s="726">
        <v>5</v>
      </c>
      <c r="C174" s="725" t="s">
        <v>507</v>
      </c>
      <c r="D174" s="723"/>
      <c r="J174" s="753"/>
    </row>
    <row r="175" spans="1:10" ht="15.75" thickBot="1">
      <c r="B175" s="726">
        <v>5.0999999999999996</v>
      </c>
      <c r="C175" s="725" t="s">
        <v>891</v>
      </c>
      <c r="D175" s="723"/>
      <c r="J175" s="753" t="str">
        <f>IF(J176=0,$L$3,"")</f>
        <v/>
      </c>
    </row>
    <row r="176" spans="1:10" ht="14.25" hidden="1" thickBot="1">
      <c r="D176" s="392"/>
      <c r="E176" s="393"/>
      <c r="F176" s="394"/>
      <c r="G176" s="394"/>
      <c r="H176" s="395" t="s">
        <v>480</v>
      </c>
      <c r="I176" s="395"/>
      <c r="J176" s="396">
        <f>スコア!M48</f>
        <v>1</v>
      </c>
    </row>
    <row r="177" spans="1:10" ht="14.25" thickBot="1">
      <c r="D177" s="397">
        <v>3</v>
      </c>
      <c r="E177" s="436" t="s">
        <v>351</v>
      </c>
      <c r="F177" s="404"/>
      <c r="G177" s="404"/>
      <c r="H177" s="404"/>
      <c r="I177" s="404"/>
      <c r="J177" s="405"/>
    </row>
    <row r="178" spans="1:10">
      <c r="A178" s="1">
        <v>1</v>
      </c>
      <c r="D178" s="450" t="str">
        <f>IF(D177=$L$11,$M$6,IF(ROUNDDOWN(D177,0)=$L$6,$N$6,$M$6))</f>
        <v>　レベル　1</v>
      </c>
      <c r="E178" s="667" t="s">
        <v>544</v>
      </c>
      <c r="F178" s="473"/>
      <c r="G178" s="473"/>
      <c r="H178" s="473"/>
      <c r="I178" s="473"/>
      <c r="J178" s="408"/>
    </row>
    <row r="179" spans="1:10">
      <c r="A179" s="1" t="s">
        <v>440</v>
      </c>
      <c r="D179" s="398" t="str">
        <f>IF(D177=$L$11,$M$7,IF(ROUNDDOWN(D177,0)=$L$7,$N$7,$M$7))</f>
        <v>　レベル　2</v>
      </c>
      <c r="E179" s="668" t="s">
        <v>545</v>
      </c>
      <c r="F179" s="472"/>
      <c r="G179" s="472"/>
      <c r="H179" s="472"/>
      <c r="I179" s="472"/>
      <c r="J179" s="475"/>
    </row>
    <row r="180" spans="1:10">
      <c r="A180" s="1">
        <v>3</v>
      </c>
      <c r="D180" s="398" t="str">
        <f>IF(D177=$L$11,$M$8,IF(ROUNDDOWN(D177,0)=$L$8,$N$8,$M$8))</f>
        <v>■レベル　3</v>
      </c>
      <c r="E180" s="668" t="s">
        <v>546</v>
      </c>
      <c r="F180" s="472"/>
      <c r="G180" s="472"/>
      <c r="H180" s="472"/>
      <c r="I180" s="472"/>
      <c r="J180" s="475"/>
    </row>
    <row r="181" spans="1:10">
      <c r="A181" s="1">
        <v>4</v>
      </c>
      <c r="D181" s="398" t="str">
        <f>IF(D177=$L$11,$M$9,IF(ROUNDDOWN(D177,0)=$L$9,$N$9,$M$9))</f>
        <v>　レベル　4</v>
      </c>
      <c r="E181" s="668" t="s">
        <v>547</v>
      </c>
      <c r="F181" s="472"/>
      <c r="G181" s="472"/>
      <c r="H181" s="472"/>
      <c r="I181" s="472"/>
      <c r="J181" s="475"/>
    </row>
    <row r="182" spans="1:10">
      <c r="A182" s="1">
        <v>5</v>
      </c>
      <c r="D182" s="399" t="str">
        <f>IF(D177=$L$11,$M$10,IF(ROUNDDOWN(D177,0)=$L$10,$N$10,$M$10))</f>
        <v>　レベル　5</v>
      </c>
      <c r="E182" s="650" t="s">
        <v>548</v>
      </c>
      <c r="F182" s="474"/>
      <c r="G182" s="474"/>
      <c r="H182" s="474"/>
      <c r="I182" s="474"/>
      <c r="J182" s="409"/>
    </row>
    <row r="183" spans="1:10">
      <c r="A183" s="1" t="s">
        <v>440</v>
      </c>
    </row>
    <row r="184" spans="1:10" ht="15">
      <c r="B184" s="726">
        <v>5.2</v>
      </c>
      <c r="C184" s="725" t="s">
        <v>408</v>
      </c>
      <c r="D184" s="723"/>
      <c r="J184" s="753"/>
    </row>
    <row r="185" spans="1:10" ht="15.75" thickBot="1">
      <c r="B185" s="726"/>
      <c r="C185" s="725"/>
      <c r="D185" s="723" t="s">
        <v>913</v>
      </c>
      <c r="J185" s="753" t="str">
        <f>IF(J186=0,$L$3,"")</f>
        <v/>
      </c>
    </row>
    <row r="186" spans="1:10" ht="14.25" hidden="1" thickBot="1">
      <c r="D186" s="392"/>
      <c r="E186" s="393"/>
      <c r="F186" s="394"/>
      <c r="G186" s="394"/>
      <c r="H186" s="395" t="s">
        <v>480</v>
      </c>
      <c r="I186" s="395"/>
      <c r="J186" s="396">
        <f>スコア!M49</f>
        <v>1</v>
      </c>
    </row>
    <row r="187" spans="1:10" ht="14.25" thickBot="1">
      <c r="D187" s="397">
        <v>3</v>
      </c>
      <c r="E187" s="436" t="s">
        <v>351</v>
      </c>
      <c r="F187" s="404"/>
      <c r="G187" s="404"/>
      <c r="H187" s="404"/>
      <c r="I187" s="404"/>
      <c r="J187" s="405"/>
    </row>
    <row r="188" spans="1:10">
      <c r="A188" s="1">
        <v>1</v>
      </c>
      <c r="D188" s="450" t="str">
        <f>IF(D187=$L$11,$M$6,IF(ROUNDDOWN(D187,0)=$L$6,$N$6,$M$6))</f>
        <v>　レベル　1</v>
      </c>
      <c r="E188" s="667" t="s">
        <v>549</v>
      </c>
      <c r="F188" s="473"/>
      <c r="G188" s="473"/>
      <c r="H188" s="473"/>
      <c r="I188" s="473"/>
      <c r="J188" s="408"/>
    </row>
    <row r="189" spans="1:10">
      <c r="A189" s="1">
        <v>2</v>
      </c>
      <c r="D189" s="398" t="str">
        <f>IF(D187=$L$11,$M$7,IF(ROUNDDOWN(D187,0)=$L$7,$N$7,$M$7))</f>
        <v>　レベル　2</v>
      </c>
      <c r="E189" s="668" t="s">
        <v>464</v>
      </c>
      <c r="F189" s="472"/>
      <c r="G189" s="472"/>
      <c r="H189" s="472"/>
      <c r="I189" s="472"/>
      <c r="J189" s="475"/>
    </row>
    <row r="190" spans="1:10">
      <c r="A190" s="1">
        <v>3</v>
      </c>
      <c r="D190" s="398" t="str">
        <f>IF(D187=$L$11,$M$8,IF(ROUNDDOWN(D187,0)=$L$8,$N$8,$M$8))</f>
        <v>■レベル　3</v>
      </c>
      <c r="E190" s="668" t="s">
        <v>465</v>
      </c>
      <c r="F190" s="472"/>
      <c r="G190" s="472"/>
      <c r="H190" s="472"/>
      <c r="I190" s="472"/>
      <c r="J190" s="475"/>
    </row>
    <row r="191" spans="1:10" ht="23.45" customHeight="1">
      <c r="A191" s="1">
        <v>4</v>
      </c>
      <c r="D191" s="398" t="str">
        <f>IF(D187=$L$11,$M$9,IF(ROUNDDOWN(D187,0)=$L$9,$N$9,$M$9))</f>
        <v>　レベル　4</v>
      </c>
      <c r="E191" s="950" t="s">
        <v>466</v>
      </c>
      <c r="F191" s="952"/>
      <c r="G191" s="952"/>
      <c r="H191" s="952"/>
      <c r="I191" s="952"/>
      <c r="J191" s="951"/>
    </row>
    <row r="192" spans="1:10">
      <c r="A192" s="1">
        <v>5</v>
      </c>
      <c r="D192" s="399" t="str">
        <f>IF(D187=$L$11,$M$10,IF(ROUNDDOWN(D187,0)=$L$10,$N$10,$M$10))</f>
        <v>　レベル　5</v>
      </c>
      <c r="E192" s="650" t="s">
        <v>986</v>
      </c>
      <c r="F192" s="474"/>
      <c r="G192" s="474"/>
      <c r="H192" s="474"/>
      <c r="I192" s="474"/>
      <c r="J192" s="409"/>
    </row>
    <row r="193" spans="1:10" ht="29.45" customHeight="1">
      <c r="A193" s="1" t="s">
        <v>440</v>
      </c>
      <c r="D193" s="1002" t="s">
        <v>696</v>
      </c>
      <c r="E193" s="1002"/>
      <c r="F193" s="1002"/>
      <c r="G193" s="1002"/>
      <c r="H193" s="1002"/>
      <c r="I193" s="1002"/>
      <c r="J193" s="1002"/>
    </row>
    <row r="194" spans="1:10" ht="15.75" thickBot="1">
      <c r="B194" s="726"/>
      <c r="C194" s="725"/>
      <c r="D194" s="723" t="s">
        <v>914</v>
      </c>
      <c r="J194" s="753" t="str">
        <f>IF(J195=0,$L$3,"")</f>
        <v/>
      </c>
    </row>
    <row r="195" spans="1:10" ht="14.25" hidden="1" thickBot="1">
      <c r="D195" s="392"/>
      <c r="E195" s="393"/>
      <c r="F195" s="394"/>
      <c r="G195" s="394"/>
      <c r="H195" s="395" t="s">
        <v>480</v>
      </c>
      <c r="I195" s="395"/>
      <c r="J195" s="396">
        <f>スコア!M50</f>
        <v>1</v>
      </c>
    </row>
    <row r="196" spans="1:10" ht="14.25" thickBot="1">
      <c r="D196" s="397">
        <v>3</v>
      </c>
      <c r="E196" s="436" t="s">
        <v>351</v>
      </c>
      <c r="F196" s="404"/>
      <c r="G196" s="404"/>
      <c r="H196" s="404"/>
      <c r="I196" s="404"/>
      <c r="J196" s="405"/>
    </row>
    <row r="197" spans="1:10">
      <c r="A197" s="1">
        <v>1</v>
      </c>
      <c r="D197" s="450" t="str">
        <f>IF(D196=$L$11,$M$6,IF(ROUNDDOWN(D196,0)=$L$6,$N$6,$M$6))</f>
        <v>　レベル　1</v>
      </c>
      <c r="E197" s="667" t="s">
        <v>305</v>
      </c>
      <c r="F197" s="473"/>
      <c r="G197" s="473"/>
      <c r="H197" s="473"/>
      <c r="I197" s="473"/>
      <c r="J197" s="408"/>
    </row>
    <row r="198" spans="1:10">
      <c r="A198" s="1" t="s">
        <v>440</v>
      </c>
      <c r="D198" s="398" t="str">
        <f>IF(D196=$L$11,$M$7,IF(ROUNDDOWN(D196,0)=$L$7,$N$7,$M$7))</f>
        <v>　レベル　2</v>
      </c>
      <c r="E198" s="668" t="s">
        <v>144</v>
      </c>
      <c r="F198" s="472"/>
      <c r="G198" s="472"/>
      <c r="H198" s="472"/>
      <c r="I198" s="472"/>
      <c r="J198" s="475"/>
    </row>
    <row r="199" spans="1:10">
      <c r="A199" s="1">
        <v>3</v>
      </c>
      <c r="D199" s="398" t="str">
        <f>IF(D196=$L$11,$M$8,IF(ROUNDDOWN(D196,0)=$L$8,$N$8,$M$8))</f>
        <v>■レベル　3</v>
      </c>
      <c r="E199" s="668" t="s">
        <v>304</v>
      </c>
      <c r="F199" s="472"/>
      <c r="G199" s="472"/>
      <c r="H199" s="472"/>
      <c r="I199" s="472"/>
      <c r="J199" s="475"/>
    </row>
    <row r="200" spans="1:10">
      <c r="A200" s="1" t="s">
        <v>201</v>
      </c>
      <c r="D200" s="398" t="str">
        <f>IF(D196=$L$11,$M$9,IF(ROUNDDOWN(D196,0)=$L$9,$N$9,$M$9))</f>
        <v>　レベル　4</v>
      </c>
      <c r="E200" s="668" t="s">
        <v>144</v>
      </c>
      <c r="F200" s="472"/>
      <c r="G200" s="472"/>
      <c r="H200" s="472"/>
      <c r="I200" s="472"/>
      <c r="J200" s="475"/>
    </row>
    <row r="201" spans="1:10">
      <c r="A201" s="1">
        <v>5</v>
      </c>
      <c r="D201" s="399" t="str">
        <f>IF(D196=$L$11,$M$10,IF(ROUNDDOWN(D196,0)=$L$10,$N$10,$M$10))</f>
        <v>　レベル　5</v>
      </c>
      <c r="E201" s="650" t="s">
        <v>957</v>
      </c>
      <c r="F201" s="474"/>
      <c r="G201" s="474"/>
      <c r="H201" s="474"/>
      <c r="I201" s="474"/>
      <c r="J201" s="409"/>
    </row>
    <row r="202" spans="1:10">
      <c r="A202" s="1" t="s">
        <v>440</v>
      </c>
    </row>
    <row r="203" spans="1:10" ht="15.75" thickBot="1">
      <c r="B203" s="726">
        <v>5.3</v>
      </c>
      <c r="C203" s="725" t="s">
        <v>407</v>
      </c>
      <c r="D203" s="723"/>
      <c r="J203" s="753" t="str">
        <f>IF(J204=0,$L$3,"")</f>
        <v/>
      </c>
    </row>
    <row r="204" spans="1:10" ht="14.25" hidden="1" thickBot="1">
      <c r="D204" s="392"/>
      <c r="E204" s="393"/>
      <c r="F204" s="394"/>
      <c r="G204" s="394"/>
      <c r="H204" s="395" t="s">
        <v>480</v>
      </c>
      <c r="I204" s="395"/>
      <c r="J204" s="396">
        <f>スコア!M51</f>
        <v>1</v>
      </c>
    </row>
    <row r="205" spans="1:10" ht="14.25" thickBot="1">
      <c r="D205" s="397">
        <v>3</v>
      </c>
      <c r="E205" s="436" t="s">
        <v>351</v>
      </c>
      <c r="F205" s="404"/>
      <c r="G205" s="404"/>
      <c r="H205" s="404"/>
      <c r="I205" s="404"/>
      <c r="J205" s="405"/>
    </row>
    <row r="206" spans="1:10">
      <c r="A206" s="1">
        <v>1</v>
      </c>
      <c r="D206" s="450" t="str">
        <f>IF(D205=$L$11,$M$6,IF(ROUNDDOWN(D205,0)=$L$6,$N$6,$M$6))</f>
        <v>　レベル　1</v>
      </c>
      <c r="E206" s="667" t="s">
        <v>915</v>
      </c>
      <c r="F206" s="473"/>
      <c r="G206" s="473"/>
      <c r="H206" s="473"/>
      <c r="I206" s="473"/>
      <c r="J206" s="408"/>
    </row>
    <row r="207" spans="1:10">
      <c r="A207" s="1">
        <v>2</v>
      </c>
      <c r="D207" s="398" t="str">
        <f>IF(D205=$L$11,$M$7,IF(ROUNDDOWN(D205,0)=$L$7,$N$7,$M$7))</f>
        <v>　レベル　2</v>
      </c>
      <c r="E207" s="668" t="s">
        <v>916</v>
      </c>
      <c r="F207" s="472"/>
      <c r="G207" s="472"/>
      <c r="H207" s="472"/>
      <c r="I207" s="472"/>
      <c r="J207" s="475"/>
    </row>
    <row r="208" spans="1:10" ht="27" customHeight="1">
      <c r="A208" s="1">
        <v>3</v>
      </c>
      <c r="D208" s="398" t="str">
        <f>IF(D205=$L$11,$M$8,IF(ROUNDDOWN(D205,0)=$L$8,$N$8,$M$8))</f>
        <v>■レベル　3</v>
      </c>
      <c r="E208" s="950" t="s">
        <v>958</v>
      </c>
      <c r="F208" s="952"/>
      <c r="G208" s="952"/>
      <c r="H208" s="952"/>
      <c r="I208" s="952"/>
      <c r="J208" s="951"/>
    </row>
    <row r="209" spans="1:10" ht="27" customHeight="1">
      <c r="A209" s="1">
        <v>4</v>
      </c>
      <c r="D209" s="398" t="str">
        <f>IF(D205=$L$11,$M$9,IF(ROUNDDOWN(D205,0)=$L$9,$N$9,$M$9))</f>
        <v>　レベル　4</v>
      </c>
      <c r="E209" s="950" t="s">
        <v>917</v>
      </c>
      <c r="F209" s="952"/>
      <c r="G209" s="952"/>
      <c r="H209" s="952"/>
      <c r="I209" s="952"/>
      <c r="J209" s="951"/>
    </row>
    <row r="210" spans="1:10" ht="27" customHeight="1">
      <c r="A210" s="1">
        <v>5</v>
      </c>
      <c r="D210" s="399" t="str">
        <f>IF(D205=$L$11,$M$10,IF(ROUNDDOWN(D205,0)=$L$10,$N$10,$M$10))</f>
        <v>　レベル　5</v>
      </c>
      <c r="E210" s="941" t="s">
        <v>303</v>
      </c>
      <c r="F210" s="942"/>
      <c r="G210" s="942"/>
      <c r="H210" s="942"/>
      <c r="I210" s="942"/>
      <c r="J210" s="943"/>
    </row>
    <row r="211" spans="1:10">
      <c r="A211" s="1" t="s">
        <v>440</v>
      </c>
    </row>
    <row r="212" spans="1:10" ht="15">
      <c r="B212" s="726">
        <v>6</v>
      </c>
      <c r="C212" s="725" t="s">
        <v>433</v>
      </c>
      <c r="D212" s="723"/>
      <c r="J212" s="753"/>
    </row>
    <row r="213" spans="1:10" ht="15">
      <c r="B213" s="726">
        <v>6.1</v>
      </c>
      <c r="C213" s="725" t="s">
        <v>998</v>
      </c>
      <c r="D213" s="723"/>
      <c r="J213" s="753" t="str">
        <f>IF(J214=0,$L$3,"")</f>
        <v/>
      </c>
    </row>
    <row r="214" spans="1:10" hidden="1">
      <c r="D214" s="392"/>
      <c r="E214" s="393"/>
      <c r="F214" s="394"/>
      <c r="G214" s="394"/>
      <c r="H214" s="395" t="s">
        <v>480</v>
      </c>
      <c r="I214" s="395"/>
      <c r="J214" s="396">
        <f>スコア!M53</f>
        <v>1</v>
      </c>
    </row>
    <row r="215" spans="1:10">
      <c r="D215" s="641">
        <f>D223</f>
        <v>3</v>
      </c>
      <c r="E215" s="436" t="s">
        <v>351</v>
      </c>
      <c r="F215" s="404"/>
      <c r="G215" s="404"/>
      <c r="H215" s="404"/>
      <c r="I215" s="404"/>
      <c r="J215" s="500" t="s">
        <v>388</v>
      </c>
    </row>
    <row r="216" spans="1:10">
      <c r="A216" s="1">
        <v>1</v>
      </c>
      <c r="D216" s="398" t="str">
        <f>IF(D215=$L$11,$M$6,IF(ROUNDDOWN(D215,0)=$L$6,$N$6,$M$6))</f>
        <v>　レベル　1</v>
      </c>
      <c r="E216" s="566" t="s">
        <v>999</v>
      </c>
      <c r="F216" s="567"/>
      <c r="G216" s="671"/>
      <c r="H216" s="671"/>
      <c r="I216" s="671"/>
      <c r="J216" s="953" t="s">
        <v>965</v>
      </c>
    </row>
    <row r="217" spans="1:10">
      <c r="A217" s="1">
        <v>2</v>
      </c>
      <c r="D217" s="398" t="str">
        <f>IF(D215=$L$11,$M$7,IF(ROUNDDOWN(D215,0)=$L$7,$N$7,$M$7))</f>
        <v>　レベル　2</v>
      </c>
      <c r="E217" s="693" t="s">
        <v>1000</v>
      </c>
      <c r="F217" s="689"/>
      <c r="G217" s="689"/>
      <c r="H217" s="689"/>
      <c r="I217" s="689"/>
      <c r="J217" s="954"/>
    </row>
    <row r="218" spans="1:10">
      <c r="A218" s="1">
        <v>3</v>
      </c>
      <c r="D218" s="398" t="str">
        <f>IF(D215=$L$11,$M$8,IF(ROUNDDOWN(D215,0)=$L$8,$N$8,$M$8))</f>
        <v>■レベル　3</v>
      </c>
      <c r="E218" s="652" t="s">
        <v>1001</v>
      </c>
      <c r="F218" s="564"/>
      <c r="G218" s="564"/>
      <c r="H218" s="564"/>
      <c r="I218" s="564"/>
      <c r="J218" s="954"/>
    </row>
    <row r="219" spans="1:10">
      <c r="A219" s="1">
        <v>4</v>
      </c>
      <c r="D219" s="398" t="str">
        <f>IF(D215=$L$11,$M$9,IF(ROUNDDOWN(D215,0)=$L$9,$N$9,$M$9))</f>
        <v>　レベル　4</v>
      </c>
      <c r="E219" s="693" t="s">
        <v>1002</v>
      </c>
      <c r="F219" s="689"/>
      <c r="G219" s="689"/>
      <c r="H219" s="689"/>
      <c r="I219" s="689"/>
      <c r="J219" s="954"/>
    </row>
    <row r="220" spans="1:10" ht="14.25" thickBot="1">
      <c r="A220" s="1">
        <v>5</v>
      </c>
      <c r="D220" s="399" t="str">
        <f>IF(D215=$L$11,$M$10,IF(ROUNDDOWN(D215,0)=$L$10,$N$10,$M$10))</f>
        <v>　レベル　5</v>
      </c>
      <c r="E220" s="640" t="s">
        <v>1012</v>
      </c>
      <c r="F220" s="638"/>
      <c r="G220" s="638"/>
      <c r="H220" s="638"/>
      <c r="I220" s="638"/>
      <c r="J220" s="955"/>
    </row>
    <row r="221" spans="1:10" ht="14.25" thickBot="1">
      <c r="A221" s="1" t="s">
        <v>440</v>
      </c>
      <c r="D221" s="397">
        <v>0</v>
      </c>
      <c r="E221" s="730" t="s">
        <v>237</v>
      </c>
      <c r="F221" s="451" t="s">
        <v>259</v>
      </c>
    </row>
    <row r="222" spans="1:10">
      <c r="D222" s="731" t="s">
        <v>816</v>
      </c>
    </row>
    <row r="223" spans="1:10" ht="14.25" thickBot="1">
      <c r="D223" s="611">
        <f>IF(F221=$N$3,IF(E230=0,1,IF(E230=1,2,IF(E230=2,3,IF(E230=3,4,IF(E230&gt;=4,5,))))),D221)</f>
        <v>3</v>
      </c>
      <c r="E223" s="407" t="s">
        <v>467</v>
      </c>
      <c r="F223" s="407"/>
      <c r="G223" s="616" t="s">
        <v>497</v>
      </c>
      <c r="H223" s="506"/>
      <c r="I223" s="506"/>
      <c r="J223" s="411" t="s">
        <v>406</v>
      </c>
    </row>
    <row r="224" spans="1:10">
      <c r="D224" s="762"/>
      <c r="E224" s="672"/>
      <c r="F224" s="677"/>
      <c r="G224" s="958" t="s">
        <v>697</v>
      </c>
      <c r="H224" s="957"/>
      <c r="I224" s="949"/>
      <c r="J224" s="501">
        <v>3</v>
      </c>
    </row>
    <row r="225" spans="1:10">
      <c r="D225" s="763"/>
      <c r="E225" s="673"/>
      <c r="F225" s="675"/>
      <c r="G225" s="956" t="s">
        <v>552</v>
      </c>
      <c r="H225" s="952"/>
      <c r="I225" s="951"/>
      <c r="J225" s="502">
        <v>1</v>
      </c>
    </row>
    <row r="226" spans="1:10" ht="28.15" customHeight="1">
      <c r="D226" s="763"/>
      <c r="E226" s="1000" t="s">
        <v>556</v>
      </c>
      <c r="F226" s="1001"/>
      <c r="G226" s="956" t="s">
        <v>553</v>
      </c>
      <c r="H226" s="952"/>
      <c r="I226" s="951"/>
      <c r="J226" s="502">
        <v>1</v>
      </c>
    </row>
    <row r="227" spans="1:10" ht="37.15" customHeight="1">
      <c r="D227" s="763">
        <v>2</v>
      </c>
      <c r="E227" s="674"/>
      <c r="F227" s="676"/>
      <c r="G227" s="956" t="s">
        <v>698</v>
      </c>
      <c r="H227" s="952"/>
      <c r="I227" s="951"/>
      <c r="J227" s="502">
        <v>2</v>
      </c>
    </row>
    <row r="228" spans="1:10" ht="24" customHeight="1">
      <c r="D228" s="763"/>
      <c r="E228" s="983" t="s">
        <v>550</v>
      </c>
      <c r="F228" s="984"/>
      <c r="G228" s="956" t="s">
        <v>554</v>
      </c>
      <c r="H228" s="952"/>
      <c r="I228" s="951"/>
      <c r="J228" s="502">
        <v>1</v>
      </c>
    </row>
    <row r="229" spans="1:10" ht="27.6" customHeight="1" thickBot="1">
      <c r="D229" s="763"/>
      <c r="E229" s="983" t="s">
        <v>551</v>
      </c>
      <c r="F229" s="984"/>
      <c r="G229" s="985" t="s">
        <v>555</v>
      </c>
      <c r="H229" s="942"/>
      <c r="I229" s="943"/>
      <c r="J229" s="502">
        <v>1</v>
      </c>
    </row>
    <row r="230" spans="1:10" ht="14.25">
      <c r="D230" s="454" t="s">
        <v>802</v>
      </c>
      <c r="E230" s="515">
        <f>MAX(D224:D227)+D228+D229</f>
        <v>2</v>
      </c>
      <c r="F230" s="452" t="s">
        <v>261</v>
      </c>
      <c r="G230" s="452"/>
      <c r="H230" s="498"/>
      <c r="I230" s="498"/>
      <c r="J230" s="499"/>
    </row>
    <row r="231" spans="1:10"/>
    <row r="232" spans="1:10" ht="15">
      <c r="B232" s="726">
        <v>6.2</v>
      </c>
      <c r="C232" s="725" t="s">
        <v>506</v>
      </c>
      <c r="D232" s="723"/>
      <c r="J232" s="753"/>
    </row>
    <row r="233" spans="1:10" ht="15.75" thickBot="1">
      <c r="B233" s="726"/>
      <c r="C233" s="725"/>
      <c r="D233" s="723" t="s">
        <v>918</v>
      </c>
      <c r="J233" s="753" t="str">
        <f>IF(J234=0,$L$3,"")</f>
        <v/>
      </c>
    </row>
    <row r="234" spans="1:10" ht="14.25" hidden="1" thickBot="1">
      <c r="D234" s="392"/>
      <c r="E234" s="393"/>
      <c r="F234" s="394"/>
      <c r="G234" s="394"/>
      <c r="H234" s="395" t="s">
        <v>480</v>
      </c>
      <c r="I234" s="395"/>
      <c r="J234" s="396">
        <f>スコア!M54</f>
        <v>1</v>
      </c>
    </row>
    <row r="235" spans="1:10" ht="14.25" thickBot="1">
      <c r="D235" s="397">
        <v>3</v>
      </c>
      <c r="E235" s="436" t="s">
        <v>351</v>
      </c>
      <c r="F235" s="404"/>
      <c r="G235" s="404"/>
      <c r="H235" s="404"/>
      <c r="I235" s="404"/>
      <c r="J235" s="405"/>
    </row>
    <row r="236" spans="1:10">
      <c r="A236" s="1">
        <v>1</v>
      </c>
      <c r="D236" s="450" t="str">
        <f>IF(D235=$L$11,$M$6,IF(ROUNDDOWN(D235,0)=$L$6,$N$6,$M$6))</f>
        <v>　レベル　1</v>
      </c>
      <c r="E236" s="667" t="s">
        <v>164</v>
      </c>
      <c r="F236" s="473"/>
      <c r="G236" s="473"/>
      <c r="H236" s="473"/>
      <c r="I236" s="473"/>
      <c r="J236" s="408"/>
    </row>
    <row r="237" spans="1:10">
      <c r="A237" s="1">
        <v>2</v>
      </c>
      <c r="D237" s="398" t="str">
        <f>IF(D235=$L$11,$M$7,IF(ROUNDDOWN(D235,0)=$L$7,$N$7,$M$7))</f>
        <v>　レベル　2</v>
      </c>
      <c r="E237" s="668" t="s">
        <v>557</v>
      </c>
      <c r="F237" s="472"/>
      <c r="G237" s="472"/>
      <c r="H237" s="472"/>
      <c r="I237" s="472"/>
      <c r="J237" s="475"/>
    </row>
    <row r="238" spans="1:10">
      <c r="A238" s="1">
        <v>3</v>
      </c>
      <c r="D238" s="398" t="str">
        <f>IF(D235=$L$11,$M$8,IF(ROUNDDOWN(D235,0)=$L$8,$N$8,$M$8))</f>
        <v>■レベル　3</v>
      </c>
      <c r="E238" s="668" t="s">
        <v>558</v>
      </c>
      <c r="F238" s="472"/>
      <c r="G238" s="472"/>
      <c r="H238" s="472"/>
      <c r="I238" s="472"/>
      <c r="J238" s="475"/>
    </row>
    <row r="239" spans="1:10">
      <c r="A239" s="1">
        <v>4</v>
      </c>
      <c r="D239" s="398" t="str">
        <f>IF(D235=$L$11,$M$9,IF(ROUNDDOWN(D235,0)=$L$9,$N$9,$M$9))</f>
        <v>　レベル　4</v>
      </c>
      <c r="E239" s="950" t="s">
        <v>559</v>
      </c>
      <c r="F239" s="952"/>
      <c r="G239" s="952"/>
      <c r="H239" s="952"/>
      <c r="I239" s="952"/>
      <c r="J239" s="951"/>
    </row>
    <row r="240" spans="1:10" ht="25.9" customHeight="1">
      <c r="A240" s="1">
        <v>5</v>
      </c>
      <c r="D240" s="399" t="str">
        <f>IF(D235=$L$11,$M$10,IF(ROUNDDOWN(D235,0)=$L$10,$N$10,$M$10))</f>
        <v>　レベル　5</v>
      </c>
      <c r="E240" s="941" t="s">
        <v>699</v>
      </c>
      <c r="F240" s="942"/>
      <c r="G240" s="942"/>
      <c r="H240" s="942"/>
      <c r="I240" s="942"/>
      <c r="J240" s="943"/>
    </row>
    <row r="241" spans="1:10">
      <c r="A241" s="1" t="s">
        <v>440</v>
      </c>
    </row>
    <row r="242" spans="1:10" ht="15.75" thickBot="1">
      <c r="B242" s="726"/>
      <c r="C242" s="725"/>
      <c r="D242" s="723" t="s">
        <v>855</v>
      </c>
      <c r="J242" s="753" t="str">
        <f>IF(J243=0,$L$3,"")</f>
        <v/>
      </c>
    </row>
    <row r="243" spans="1:10" ht="14.25" hidden="1" thickBot="1">
      <c r="D243" s="392"/>
      <c r="E243" s="393"/>
      <c r="F243" s="394"/>
      <c r="G243" s="394"/>
      <c r="H243" s="395" t="s">
        <v>480</v>
      </c>
      <c r="I243" s="395"/>
      <c r="J243" s="396">
        <f>スコア!M55</f>
        <v>1</v>
      </c>
    </row>
    <row r="244" spans="1:10" ht="14.25" thickBot="1">
      <c r="D244" s="397">
        <v>3</v>
      </c>
      <c r="E244" s="436" t="s">
        <v>351</v>
      </c>
      <c r="F244" s="404"/>
      <c r="G244" s="404"/>
      <c r="H244" s="404"/>
      <c r="I244" s="404"/>
      <c r="J244" s="405"/>
    </row>
    <row r="245" spans="1:10">
      <c r="A245" s="1">
        <v>1</v>
      </c>
      <c r="D245" s="450" t="str">
        <f>IF(D244=$L$11,$M$6,IF(ROUNDDOWN(D244,0)=$L$6,$N$6,$M$6))</f>
        <v>　レベル　1</v>
      </c>
      <c r="E245" s="948" t="s">
        <v>700</v>
      </c>
      <c r="F245" s="957"/>
      <c r="G245" s="957"/>
      <c r="H245" s="957"/>
      <c r="I245" s="957"/>
      <c r="J245" s="949"/>
    </row>
    <row r="246" spans="1:10">
      <c r="A246" s="1">
        <v>2</v>
      </c>
      <c r="D246" s="398" t="str">
        <f>IF(D244=$L$11,$M$7,IF(ROUNDDOWN(D244,0)=$L$7,$N$7,$M$7))</f>
        <v>　レベル　2</v>
      </c>
      <c r="E246" s="654" t="s">
        <v>514</v>
      </c>
      <c r="F246" s="472"/>
      <c r="G246" s="472"/>
      <c r="H246" s="472"/>
      <c r="I246" s="472"/>
      <c r="J246" s="475"/>
    </row>
    <row r="247" spans="1:10" ht="46.9" customHeight="1">
      <c r="A247" s="1">
        <v>3</v>
      </c>
      <c r="D247" s="398" t="str">
        <f>IF(D244=$L$11,$M$8,IF(ROUNDDOWN(D244,0)=$L$8,$N$8,$M$8))</f>
        <v>■レベル　3</v>
      </c>
      <c r="E247" s="950" t="s">
        <v>1061</v>
      </c>
      <c r="F247" s="952"/>
      <c r="G247" s="952"/>
      <c r="H247" s="952"/>
      <c r="I247" s="952"/>
      <c r="J247" s="951"/>
    </row>
    <row r="248" spans="1:10">
      <c r="A248" s="1">
        <v>4</v>
      </c>
      <c r="D248" s="398" t="str">
        <f>IF(D244=$L$11,$M$9,IF(ROUNDDOWN(D244,0)=$L$9,$N$9,$M$9))</f>
        <v>　レベル　4</v>
      </c>
      <c r="E248" s="994" t="s">
        <v>701</v>
      </c>
      <c r="F248" s="995"/>
      <c r="G248" s="995"/>
      <c r="H248" s="995"/>
      <c r="I248" s="995"/>
      <c r="J248" s="996"/>
    </row>
    <row r="249" spans="1:10" ht="51" customHeight="1">
      <c r="A249" s="1">
        <v>5</v>
      </c>
      <c r="D249" s="399" t="str">
        <f>IF(D244=$L$11,$M$10,IF(ROUNDDOWN(D244,0)=$L$10,$N$10,$M$10))</f>
        <v>　レベル　5</v>
      </c>
      <c r="E249" s="941" t="s">
        <v>1062</v>
      </c>
      <c r="F249" s="942"/>
      <c r="G249" s="942"/>
      <c r="H249" s="942"/>
      <c r="I249" s="942"/>
      <c r="J249" s="943"/>
    </row>
    <row r="250" spans="1:10" ht="34.9" customHeight="1">
      <c r="A250" s="1" t="s">
        <v>440</v>
      </c>
      <c r="D250" s="1002" t="s">
        <v>1013</v>
      </c>
      <c r="E250" s="1002"/>
      <c r="F250" s="1002"/>
      <c r="G250" s="1002"/>
      <c r="H250" s="1002"/>
      <c r="I250" s="1002"/>
      <c r="J250" s="1002"/>
    </row>
    <row r="251" spans="1:10" ht="15.75" thickBot="1">
      <c r="B251" s="726">
        <v>6.3</v>
      </c>
      <c r="C251" s="725" t="s">
        <v>434</v>
      </c>
      <c r="D251" s="723"/>
      <c r="J251" s="753" t="str">
        <f>IF(J252=0,$L$3,"")</f>
        <v/>
      </c>
    </row>
    <row r="252" spans="1:10" ht="14.25" hidden="1" thickBot="1">
      <c r="D252" s="392"/>
      <c r="E252" s="393"/>
      <c r="F252" s="394"/>
      <c r="G252" s="394"/>
      <c r="H252" s="395" t="s">
        <v>480</v>
      </c>
      <c r="I252" s="395"/>
      <c r="J252" s="396">
        <f>スコア!M56</f>
        <v>1</v>
      </c>
    </row>
    <row r="253" spans="1:10" ht="14.25" thickBot="1">
      <c r="D253" s="397">
        <v>3</v>
      </c>
      <c r="E253" s="436" t="s">
        <v>351</v>
      </c>
      <c r="F253" s="404"/>
      <c r="G253" s="404"/>
      <c r="H253" s="404"/>
      <c r="I253" s="404"/>
      <c r="J253" s="405"/>
    </row>
    <row r="254" spans="1:10">
      <c r="A254" s="1">
        <v>1</v>
      </c>
      <c r="D254" s="450" t="str">
        <f>IF(D253=$L$11,$M$6,IF(ROUNDDOWN(D253,0)=$L$6,$N$6,$M$6))</f>
        <v>　レベル　1</v>
      </c>
      <c r="E254" s="667" t="s">
        <v>164</v>
      </c>
      <c r="F254" s="473"/>
      <c r="G254" s="473"/>
      <c r="H254" s="473"/>
      <c r="I254" s="473"/>
      <c r="J254" s="408"/>
    </row>
    <row r="255" spans="1:10">
      <c r="A255" s="1">
        <v>2</v>
      </c>
      <c r="D255" s="398" t="str">
        <f>IF(D253=$L$11,$M$7,IF(ROUNDDOWN(D253,0)=$L$7,$N$7,$M$7))</f>
        <v>　レベル　2</v>
      </c>
      <c r="E255" s="654" t="s">
        <v>560</v>
      </c>
      <c r="F255" s="472"/>
      <c r="G255" s="472"/>
      <c r="H255" s="472"/>
      <c r="I255" s="472"/>
      <c r="J255" s="475"/>
    </row>
    <row r="256" spans="1:10">
      <c r="A256" s="1">
        <v>3</v>
      </c>
      <c r="D256" s="398" t="str">
        <f>IF(D253=$L$11,$M$8,IF(ROUNDDOWN(D253,0)=$L$8,$N$8,$M$8))</f>
        <v>■レベル　3</v>
      </c>
      <c r="E256" s="668" t="s">
        <v>959</v>
      </c>
      <c r="F256" s="472"/>
      <c r="G256" s="472"/>
      <c r="H256" s="472"/>
      <c r="I256" s="472"/>
      <c r="J256" s="475"/>
    </row>
    <row r="257" spans="1:10">
      <c r="A257" s="1">
        <v>4</v>
      </c>
      <c r="D257" s="398" t="str">
        <f>IF(D253=$L$11,$M$9,IF(ROUNDDOWN(D253,0)=$L$9,$N$9,$M$9))</f>
        <v>　レベル　4</v>
      </c>
      <c r="E257" s="654" t="s">
        <v>960</v>
      </c>
      <c r="F257" s="472"/>
      <c r="G257" s="472"/>
      <c r="H257" s="472"/>
      <c r="I257" s="472"/>
      <c r="J257" s="475"/>
    </row>
    <row r="258" spans="1:10" ht="24.6" customHeight="1">
      <c r="A258" s="1">
        <v>5</v>
      </c>
      <c r="D258" s="399" t="str">
        <f>IF(D253=$L$11,$M$10,IF(ROUNDDOWN(D253,0)=$L$10,$N$10,$M$10))</f>
        <v>　レベル　5</v>
      </c>
      <c r="E258" s="997" t="s">
        <v>961</v>
      </c>
      <c r="F258" s="998"/>
      <c r="G258" s="998"/>
      <c r="H258" s="998"/>
      <c r="I258" s="998"/>
      <c r="J258" s="999"/>
    </row>
    <row r="259" spans="1:10" ht="35.450000000000003" customHeight="1">
      <c r="A259" s="1" t="s">
        <v>440</v>
      </c>
      <c r="D259" s="1002" t="s">
        <v>702</v>
      </c>
      <c r="E259" s="1002"/>
      <c r="F259" s="1002"/>
      <c r="G259" s="1002"/>
      <c r="H259" s="1002"/>
      <c r="I259" s="1002"/>
      <c r="J259" s="1002"/>
    </row>
    <row r="260" spans="1:10" ht="15">
      <c r="B260" s="726">
        <v>6.4</v>
      </c>
      <c r="C260" s="725" t="s">
        <v>890</v>
      </c>
      <c r="D260" s="723"/>
      <c r="J260" s="753"/>
    </row>
    <row r="261" spans="1:10" ht="15.75" thickBot="1">
      <c r="B261" s="726"/>
      <c r="C261" s="725"/>
      <c r="D261" s="723" t="s">
        <v>924</v>
      </c>
      <c r="J261" s="753" t="str">
        <f>IF(J262=0,$L$3,"")</f>
        <v/>
      </c>
    </row>
    <row r="262" spans="1:10" ht="14.25" hidden="1" thickBot="1">
      <c r="D262" s="392"/>
      <c r="E262" s="393"/>
      <c r="F262" s="394"/>
      <c r="G262" s="394"/>
      <c r="H262" s="395" t="s">
        <v>480</v>
      </c>
      <c r="I262" s="395"/>
      <c r="J262" s="396">
        <f>スコア!M57</f>
        <v>1</v>
      </c>
    </row>
    <row r="263" spans="1:10" ht="14.25" thickBot="1">
      <c r="D263" s="397">
        <v>3</v>
      </c>
      <c r="E263" s="436" t="s">
        <v>351</v>
      </c>
      <c r="F263" s="404"/>
      <c r="G263" s="404"/>
      <c r="H263" s="404"/>
      <c r="I263" s="404"/>
      <c r="J263" s="500" t="s">
        <v>388</v>
      </c>
    </row>
    <row r="264" spans="1:10">
      <c r="A264" s="1">
        <v>1</v>
      </c>
      <c r="D264" s="450" t="str">
        <f>IF(D263=$L$11,$M$6,IF(ROUNDDOWN(D263,0)=$L$6,$N$6,$M$6))</f>
        <v>　レベル　1</v>
      </c>
      <c r="E264" s="566" t="s">
        <v>13</v>
      </c>
      <c r="F264" s="567"/>
      <c r="G264" s="567"/>
      <c r="H264" s="567"/>
      <c r="I264" s="567"/>
      <c r="J264" s="953" t="s">
        <v>965</v>
      </c>
    </row>
    <row r="265" spans="1:10">
      <c r="A265" s="1" t="s">
        <v>440</v>
      </c>
      <c r="D265" s="398" t="str">
        <f>IF(D263=$L$11,$M$7,IF(ROUNDDOWN(D263,0)=$L$7,$N$7,$M$7))</f>
        <v>　レベル　2</v>
      </c>
      <c r="E265" s="652" t="s">
        <v>144</v>
      </c>
      <c r="F265" s="653"/>
      <c r="G265" s="653"/>
      <c r="H265" s="653"/>
      <c r="I265" s="653"/>
      <c r="J265" s="954"/>
    </row>
    <row r="266" spans="1:10" ht="39" customHeight="1">
      <c r="A266" s="1">
        <v>3</v>
      </c>
      <c r="D266" s="398" t="str">
        <f>IF(D263=$L$11,$M$8,IF(ROUNDDOWN(D263,0)=$L$8,$N$8,$M$8))</f>
        <v>■レベル　3</v>
      </c>
      <c r="E266" s="950" t="s">
        <v>1063</v>
      </c>
      <c r="F266" s="952"/>
      <c r="G266" s="952"/>
      <c r="H266" s="952"/>
      <c r="I266" s="951"/>
      <c r="J266" s="954"/>
    </row>
    <row r="267" spans="1:10" ht="39" customHeight="1">
      <c r="A267" s="1">
        <v>4</v>
      </c>
      <c r="D267" s="398" t="str">
        <f>IF(D263=$L$11,$M$9,IF(ROUNDDOWN(D263,0)=$L$9,$N$9,$M$9))</f>
        <v>　レベル　4</v>
      </c>
      <c r="E267" s="950" t="s">
        <v>1064</v>
      </c>
      <c r="F267" s="987"/>
      <c r="G267" s="987"/>
      <c r="H267" s="987"/>
      <c r="I267" s="988"/>
      <c r="J267" s="954"/>
    </row>
    <row r="268" spans="1:10" ht="13.15" customHeight="1" thickBot="1">
      <c r="A268" s="1">
        <v>5</v>
      </c>
      <c r="D268" s="399" t="str">
        <f>IF(D263=$L$11,$M$10,IF(ROUNDDOWN(D263,0)=$L$10,$N$10,$M$10))</f>
        <v>　レベル　5</v>
      </c>
      <c r="E268" s="640" t="s">
        <v>919</v>
      </c>
      <c r="F268" s="761"/>
      <c r="G268" s="761"/>
      <c r="H268" s="761"/>
      <c r="I268" s="761"/>
      <c r="J268" s="955"/>
    </row>
    <row r="269" spans="1:10" ht="14.25" thickBot="1">
      <c r="A269" s="1" t="s">
        <v>440</v>
      </c>
      <c r="D269" s="397">
        <v>0</v>
      </c>
      <c r="E269" s="730" t="s">
        <v>237</v>
      </c>
      <c r="F269" s="451" t="s">
        <v>259</v>
      </c>
    </row>
    <row r="270" spans="1:10">
      <c r="A270" s="669"/>
      <c r="D270" s="731" t="s">
        <v>394</v>
      </c>
    </row>
    <row r="271" spans="1:10" ht="14.25" thickBot="1">
      <c r="A271" s="669"/>
      <c r="D271" s="635" t="s">
        <v>920</v>
      </c>
      <c r="E271" s="636" t="s">
        <v>467</v>
      </c>
      <c r="F271" s="616" t="s">
        <v>497</v>
      </c>
      <c r="G271" s="407"/>
      <c r="H271" s="506"/>
      <c r="I271" s="506"/>
      <c r="J271" s="410"/>
    </row>
    <row r="272" spans="1:10" ht="26.45" customHeight="1">
      <c r="A272" s="669"/>
      <c r="D272" s="401"/>
      <c r="E272" s="508">
        <v>1</v>
      </c>
      <c r="F272" s="958" t="s">
        <v>1074</v>
      </c>
      <c r="G272" s="957"/>
      <c r="H272" s="957"/>
      <c r="I272" s="957"/>
      <c r="J272" s="949"/>
    </row>
    <row r="273" spans="1:12" ht="13.15" customHeight="1">
      <c r="A273" s="669"/>
      <c r="D273" s="402"/>
      <c r="E273" s="509">
        <v>2</v>
      </c>
      <c r="F273" s="472" t="s">
        <v>921</v>
      </c>
      <c r="G273" s="472"/>
      <c r="H273" s="472"/>
      <c r="I273" s="472"/>
      <c r="J273" s="475"/>
    </row>
    <row r="274" spans="1:12" ht="26.45" customHeight="1">
      <c r="A274" s="669"/>
      <c r="D274" s="402"/>
      <c r="E274" s="509">
        <v>3</v>
      </c>
      <c r="F274" s="956" t="s">
        <v>922</v>
      </c>
      <c r="G274" s="987"/>
      <c r="H274" s="987"/>
      <c r="I274" s="987"/>
      <c r="J274" s="988"/>
    </row>
    <row r="275" spans="1:12" ht="13.15" customHeight="1" thickBot="1">
      <c r="A275" s="669"/>
      <c r="D275" s="612"/>
      <c r="E275" s="510">
        <v>4</v>
      </c>
      <c r="F275" s="474" t="s">
        <v>923</v>
      </c>
      <c r="G275" s="474"/>
      <c r="H275" s="474"/>
      <c r="I275" s="474"/>
      <c r="J275" s="409"/>
    </row>
    <row r="276" spans="1:12" ht="13.15" customHeight="1">
      <c r="A276" s="669"/>
      <c r="B276" s="669"/>
      <c r="C276" s="669"/>
      <c r="D276" s="669"/>
      <c r="E276" s="669"/>
      <c r="F276" s="669"/>
      <c r="G276" s="669"/>
      <c r="H276" s="669"/>
      <c r="I276" s="669"/>
      <c r="J276" s="669"/>
      <c r="K276" s="669"/>
      <c r="L276" s="669"/>
    </row>
    <row r="277" spans="1:12" ht="15.75" thickBot="1">
      <c r="B277" s="726"/>
      <c r="C277" s="725"/>
      <c r="D277" s="723" t="s">
        <v>925</v>
      </c>
      <c r="J277" s="729" t="str">
        <f>IF(J278=0,$L$3,"")</f>
        <v/>
      </c>
    </row>
    <row r="278" spans="1:12" ht="14.25" hidden="1" thickBot="1">
      <c r="D278" s="392"/>
      <c r="E278" s="393"/>
      <c r="F278" s="394"/>
      <c r="G278" s="394"/>
      <c r="H278" s="395" t="s">
        <v>480</v>
      </c>
      <c r="I278" s="395"/>
      <c r="J278" s="396">
        <f>スコア!M58</f>
        <v>1</v>
      </c>
    </row>
    <row r="279" spans="1:12" ht="14.25" thickBot="1">
      <c r="D279" s="397">
        <v>3</v>
      </c>
      <c r="E279" s="436" t="s">
        <v>351</v>
      </c>
      <c r="F279" s="404"/>
      <c r="G279" s="404"/>
      <c r="H279" s="404"/>
      <c r="I279" s="404"/>
      <c r="J279" s="405"/>
    </row>
    <row r="280" spans="1:12">
      <c r="A280" s="1">
        <v>1</v>
      </c>
      <c r="D280" s="450" t="str">
        <f>IF(D279=$L$11,$M$6,IF(ROUNDDOWN(D279,0)=$L$6,$N$6,$M$6))</f>
        <v>　レベル　1</v>
      </c>
      <c r="E280" s="667" t="s">
        <v>13</v>
      </c>
      <c r="F280" s="473"/>
      <c r="G280" s="473"/>
      <c r="H280" s="473"/>
      <c r="I280" s="473"/>
      <c r="J280" s="408"/>
    </row>
    <row r="281" spans="1:12">
      <c r="A281" s="1" t="s">
        <v>440</v>
      </c>
      <c r="D281" s="398" t="str">
        <f>IF(D279=$L$11,$M$7,IF(ROUNDDOWN(D279,0)=$L$7,$N$7,$M$7))</f>
        <v>　レベル　2</v>
      </c>
      <c r="E281" s="668" t="s">
        <v>144</v>
      </c>
      <c r="F281" s="472"/>
      <c r="G281" s="472"/>
      <c r="H281" s="472"/>
      <c r="I281" s="472"/>
      <c r="J281" s="475"/>
    </row>
    <row r="282" spans="1:12">
      <c r="A282" s="1">
        <v>3</v>
      </c>
      <c r="D282" s="398" t="str">
        <f>IF(D279=$L$11,$M$8,IF(ROUNDDOWN(D279,0)=$L$8,$N$8,$M$8))</f>
        <v>■レベル　3</v>
      </c>
      <c r="E282" s="950" t="s">
        <v>703</v>
      </c>
      <c r="F282" s="952"/>
      <c r="G282" s="952"/>
      <c r="H282" s="952"/>
      <c r="I282" s="952"/>
      <c r="J282" s="951"/>
    </row>
    <row r="283" spans="1:12">
      <c r="A283" s="1">
        <v>4</v>
      </c>
      <c r="D283" s="398" t="str">
        <f>IF(D279=$L$11,$M$9,IF(ROUNDDOWN(D279,0)=$L$9,$N$9,$M$9))</f>
        <v>　レベル　4</v>
      </c>
      <c r="E283" s="950" t="s">
        <v>704</v>
      </c>
      <c r="F283" s="952"/>
      <c r="G283" s="952"/>
      <c r="H283" s="952"/>
      <c r="I283" s="952"/>
      <c r="J283" s="951"/>
    </row>
    <row r="284" spans="1:12" ht="26.45" customHeight="1">
      <c r="A284" s="1">
        <v>5</v>
      </c>
      <c r="D284" s="399" t="str">
        <f>IF(D279=$L$11,$M$10,IF(ROUNDDOWN(D279,0)=$L$10,$N$10,$M$10))</f>
        <v>　レベル　5</v>
      </c>
      <c r="E284" s="941" t="s">
        <v>705</v>
      </c>
      <c r="F284" s="942"/>
      <c r="G284" s="942"/>
      <c r="H284" s="942"/>
      <c r="I284" s="942"/>
      <c r="J284" s="943"/>
    </row>
    <row r="285" spans="1:12">
      <c r="A285" s="1" t="s">
        <v>440</v>
      </c>
    </row>
    <row r="286" spans="1:12" ht="15.75" thickBot="1">
      <c r="B286" s="726">
        <v>6.5</v>
      </c>
      <c r="C286" s="725" t="s">
        <v>418</v>
      </c>
      <c r="D286" s="723"/>
      <c r="J286" s="753" t="str">
        <f>IF(J287=0,$L$3,"")</f>
        <v/>
      </c>
    </row>
    <row r="287" spans="1:12" ht="14.25" hidden="1" thickBot="1">
      <c r="D287" s="392"/>
      <c r="E287" s="393"/>
      <c r="F287" s="394"/>
      <c r="G287" s="394"/>
      <c r="H287" s="395" t="s">
        <v>480</v>
      </c>
      <c r="I287" s="395"/>
      <c r="J287" s="396">
        <f>スコア!M59</f>
        <v>1</v>
      </c>
    </row>
    <row r="288" spans="1:12" ht="14.25" thickBot="1">
      <c r="D288" s="397">
        <v>3</v>
      </c>
      <c r="E288" s="436" t="s">
        <v>351</v>
      </c>
      <c r="F288" s="404"/>
      <c r="G288" s="404"/>
      <c r="H288" s="404"/>
      <c r="I288" s="404"/>
      <c r="J288" s="405"/>
    </row>
    <row r="289" spans="1:10">
      <c r="A289" s="1">
        <v>1</v>
      </c>
      <c r="D289" s="450" t="str">
        <f>IF(D288=$L$11,$M$6,IF(ROUNDDOWN(D288,0)=$L$6,$N$6,$M$6))</f>
        <v>　レベル　1</v>
      </c>
      <c r="E289" s="667" t="s">
        <v>475</v>
      </c>
      <c r="F289" s="473"/>
      <c r="G289" s="473"/>
      <c r="H289" s="473"/>
      <c r="I289" s="473"/>
      <c r="J289" s="408"/>
    </row>
    <row r="290" spans="1:10">
      <c r="A290" s="1">
        <v>2</v>
      </c>
      <c r="D290" s="398" t="str">
        <f>IF(D288=$L$11,$M$7,IF(ROUNDDOWN(D288,0)=$L$7,$N$7,$M$7))</f>
        <v>　レベル　2</v>
      </c>
      <c r="E290" s="668" t="s">
        <v>731</v>
      </c>
      <c r="F290" s="472"/>
      <c r="G290" s="472"/>
      <c r="H290" s="472"/>
      <c r="I290" s="472"/>
      <c r="J290" s="475"/>
    </row>
    <row r="291" spans="1:10">
      <c r="A291" s="1">
        <v>3</v>
      </c>
      <c r="D291" s="398" t="str">
        <f>IF(D288=$L$11,$M$8,IF(ROUNDDOWN(D288,0)=$L$8,$N$8,$M$8))</f>
        <v>■レベル　3</v>
      </c>
      <c r="E291" s="668" t="s">
        <v>1003</v>
      </c>
      <c r="F291" s="472"/>
      <c r="G291" s="472"/>
      <c r="H291" s="472"/>
      <c r="I291" s="472"/>
      <c r="J291" s="475"/>
    </row>
    <row r="292" spans="1:10">
      <c r="A292" s="1">
        <v>4</v>
      </c>
      <c r="D292" s="398" t="str">
        <f>IF(D288=$L$11,$M$9,IF(ROUNDDOWN(D288,0)=$L$9,$N$9,$M$9))</f>
        <v>　レベル　4</v>
      </c>
      <c r="E292" s="668" t="s">
        <v>584</v>
      </c>
      <c r="F292" s="472"/>
      <c r="G292" s="472"/>
      <c r="H292" s="472"/>
      <c r="I292" s="472"/>
      <c r="J292" s="475"/>
    </row>
    <row r="293" spans="1:10">
      <c r="A293" s="1">
        <v>5</v>
      </c>
      <c r="D293" s="399" t="str">
        <f>IF(D288=$L$11,$M$10,IF(ROUNDDOWN(D288,0)=$L$10,$N$10,$M$10))</f>
        <v>　レベル　5</v>
      </c>
      <c r="E293" s="650" t="s">
        <v>585</v>
      </c>
      <c r="F293" s="474"/>
      <c r="G293" s="474"/>
      <c r="H293" s="474"/>
      <c r="I293" s="474"/>
      <c r="J293" s="409"/>
    </row>
    <row r="294" spans="1:10">
      <c r="A294" s="1" t="s">
        <v>440</v>
      </c>
    </row>
    <row r="295" spans="1:10" ht="15">
      <c r="B295" s="726">
        <v>7</v>
      </c>
      <c r="C295" s="725" t="s">
        <v>430</v>
      </c>
      <c r="D295" s="723"/>
      <c r="J295" s="753"/>
    </row>
    <row r="296" spans="1:10" ht="15">
      <c r="B296" s="726">
        <v>7.1</v>
      </c>
      <c r="C296" s="725" t="s">
        <v>387</v>
      </c>
      <c r="D296" s="723"/>
      <c r="J296" s="753" t="str">
        <f>IF(J297=0,$L$3,"")</f>
        <v/>
      </c>
    </row>
    <row r="297" spans="1:10" hidden="1">
      <c r="D297" s="392"/>
      <c r="E297" s="393"/>
      <c r="F297" s="394"/>
      <c r="G297" s="394"/>
      <c r="H297" s="395" t="s">
        <v>480</v>
      </c>
      <c r="I297" s="395"/>
      <c r="J297" s="396">
        <f>スコア!M61</f>
        <v>1</v>
      </c>
    </row>
    <row r="298" spans="1:10">
      <c r="D298" s="641">
        <f>D306</f>
        <v>3</v>
      </c>
      <c r="E298" s="404" t="s">
        <v>351</v>
      </c>
      <c r="F298" s="404"/>
      <c r="G298" s="404"/>
      <c r="H298" s="404"/>
      <c r="I298" s="404"/>
      <c r="J298" s="405"/>
    </row>
    <row r="299" spans="1:10">
      <c r="A299" s="1" t="s">
        <v>803</v>
      </c>
      <c r="D299" s="398" t="str">
        <f>IF(D298=$L$11,$M$6,IF(ROUNDDOWN(D298,0)=$L$6,$N$6,$M$6))</f>
        <v>　レベル　1</v>
      </c>
      <c r="E299" s="667" t="s">
        <v>752</v>
      </c>
      <c r="F299" s="473"/>
      <c r="G299" s="473"/>
      <c r="H299" s="473"/>
      <c r="I299" s="473"/>
      <c r="J299" s="408"/>
    </row>
    <row r="300" spans="1:10" ht="24.6" customHeight="1">
      <c r="A300" s="1">
        <v>2</v>
      </c>
      <c r="D300" s="398" t="str">
        <f>IF(D298=$L$11,$M$7,IF(ROUNDDOWN(D298,0)=$L$7,$N$7,$M$7))</f>
        <v>　レベル　2</v>
      </c>
      <c r="E300" s="950" t="s">
        <v>1004</v>
      </c>
      <c r="F300" s="952"/>
      <c r="G300" s="952"/>
      <c r="H300" s="952"/>
      <c r="I300" s="952"/>
      <c r="J300" s="951"/>
    </row>
    <row r="301" spans="1:10" ht="24.6" customHeight="1">
      <c r="A301" s="1">
        <v>3</v>
      </c>
      <c r="D301" s="398" t="str">
        <f>IF(D298=$L$11,$M$8,IF(ROUNDDOWN(D298,0)=$L$8,$N$8,$M$8))</f>
        <v>■レベル　3</v>
      </c>
      <c r="E301" s="950" t="s">
        <v>753</v>
      </c>
      <c r="F301" s="952"/>
      <c r="G301" s="952"/>
      <c r="H301" s="952"/>
      <c r="I301" s="952"/>
      <c r="J301" s="951"/>
    </row>
    <row r="302" spans="1:10" ht="24.6" customHeight="1">
      <c r="A302" s="1">
        <v>4</v>
      </c>
      <c r="D302" s="398" t="str">
        <f>IF(D298=$L$11,$M$9,IF(ROUNDDOWN(D298,0)=$L$9,$N$9,$M$9))</f>
        <v>　レベル　4</v>
      </c>
      <c r="E302" s="950" t="s">
        <v>754</v>
      </c>
      <c r="F302" s="952"/>
      <c r="G302" s="952"/>
      <c r="H302" s="952"/>
      <c r="I302" s="952"/>
      <c r="J302" s="951"/>
    </row>
    <row r="303" spans="1:10" ht="24.6" customHeight="1">
      <c r="A303" s="1">
        <v>5</v>
      </c>
      <c r="D303" s="399" t="str">
        <f>IF(D298=$L$11,$M$10,IF(ROUNDDOWN(D298,0)=$L$10,$N$10,$M$10))</f>
        <v>　レベル　5</v>
      </c>
      <c r="E303" s="941" t="s">
        <v>755</v>
      </c>
      <c r="F303" s="942"/>
      <c r="G303" s="942"/>
      <c r="H303" s="942"/>
      <c r="I303" s="942"/>
      <c r="J303" s="943"/>
    </row>
    <row r="304" spans="1:10" ht="14.25" hidden="1" thickBot="1">
      <c r="A304" s="1" t="s">
        <v>440</v>
      </c>
      <c r="D304" s="397">
        <v>0</v>
      </c>
      <c r="E304" s="730" t="s">
        <v>237</v>
      </c>
      <c r="F304" s="451" t="s">
        <v>259</v>
      </c>
    </row>
    <row r="305" spans="2:10">
      <c r="D305" s="731" t="s">
        <v>816</v>
      </c>
    </row>
    <row r="306" spans="2:10" ht="14.25" thickBot="1">
      <c r="D306" s="642">
        <f>IF(F304=$N$3,IF(E317&lt;=1,2,IF(E317&lt;=4,3,IF(E317&lt;=6,4,IF(E317&gt;=7,5)))),D304)</f>
        <v>3</v>
      </c>
      <c r="E306" s="637" t="s">
        <v>467</v>
      </c>
      <c r="F306" s="670" t="s">
        <v>497</v>
      </c>
      <c r="G306" s="617"/>
      <c r="H306" s="617"/>
      <c r="I306" s="617"/>
      <c r="J306" s="499"/>
    </row>
    <row r="307" spans="2:10">
      <c r="D307" s="401" t="s">
        <v>238</v>
      </c>
      <c r="E307" s="511">
        <v>1</v>
      </c>
      <c r="F307" s="709" t="s">
        <v>756</v>
      </c>
      <c r="G307" s="567"/>
      <c r="H307" s="567"/>
      <c r="I307" s="567"/>
      <c r="J307" s="705"/>
    </row>
    <row r="308" spans="2:10">
      <c r="D308" s="402"/>
      <c r="E308" s="509">
        <v>2</v>
      </c>
      <c r="F308" s="710" t="s">
        <v>757</v>
      </c>
      <c r="G308" s="653"/>
      <c r="H308" s="653"/>
      <c r="I308" s="653"/>
      <c r="J308" s="700"/>
    </row>
    <row r="309" spans="2:10">
      <c r="D309" s="402"/>
      <c r="E309" s="509">
        <v>3</v>
      </c>
      <c r="F309" s="710" t="s">
        <v>758</v>
      </c>
      <c r="G309" s="653"/>
      <c r="H309" s="653"/>
      <c r="I309" s="653"/>
      <c r="J309" s="700"/>
    </row>
    <row r="310" spans="2:10" ht="25.15" customHeight="1">
      <c r="D310" s="402"/>
      <c r="E310" s="509">
        <v>4</v>
      </c>
      <c r="F310" s="956" t="s">
        <v>759</v>
      </c>
      <c r="G310" s="952"/>
      <c r="H310" s="952"/>
      <c r="I310" s="952"/>
      <c r="J310" s="951"/>
    </row>
    <row r="311" spans="2:10" ht="27" customHeight="1">
      <c r="D311" s="402"/>
      <c r="E311" s="509">
        <v>5</v>
      </c>
      <c r="F311" s="956" t="s">
        <v>927</v>
      </c>
      <c r="G311" s="952"/>
      <c r="H311" s="952"/>
      <c r="I311" s="952"/>
      <c r="J311" s="951"/>
    </row>
    <row r="312" spans="2:10" ht="22.9" customHeight="1">
      <c r="D312" s="402"/>
      <c r="E312" s="509">
        <v>6</v>
      </c>
      <c r="F312" s="956" t="s">
        <v>926</v>
      </c>
      <c r="G312" s="952"/>
      <c r="H312" s="952"/>
      <c r="I312" s="952"/>
      <c r="J312" s="951"/>
    </row>
    <row r="313" spans="2:10">
      <c r="D313" s="402"/>
      <c r="E313" s="509">
        <v>7</v>
      </c>
      <c r="F313" s="710" t="s">
        <v>760</v>
      </c>
      <c r="G313" s="653"/>
      <c r="H313" s="653"/>
      <c r="I313" s="653"/>
      <c r="J313" s="700"/>
    </row>
    <row r="314" spans="2:10" ht="27" customHeight="1">
      <c r="D314" s="402"/>
      <c r="E314" s="509">
        <v>8</v>
      </c>
      <c r="F314" s="956" t="s">
        <v>761</v>
      </c>
      <c r="G314" s="952"/>
      <c r="H314" s="952"/>
      <c r="I314" s="952"/>
      <c r="J314" s="951"/>
    </row>
    <row r="315" spans="2:10">
      <c r="D315" s="402"/>
      <c r="E315" s="509">
        <v>9</v>
      </c>
      <c r="F315" s="956" t="s">
        <v>1075</v>
      </c>
      <c r="G315" s="952"/>
      <c r="H315" s="952"/>
      <c r="I315" s="952"/>
      <c r="J315" s="951"/>
    </row>
    <row r="316" spans="2:10" ht="14.25" thickBot="1">
      <c r="D316" s="612" t="s">
        <v>238</v>
      </c>
      <c r="E316" s="510">
        <v>10</v>
      </c>
      <c r="F316" s="711" t="s">
        <v>762</v>
      </c>
      <c r="G316" s="712"/>
      <c r="H316" s="712"/>
      <c r="I316" s="712"/>
      <c r="J316" s="713"/>
    </row>
    <row r="317" spans="2:10" ht="14.25">
      <c r="D317" s="454" t="s">
        <v>262</v>
      </c>
      <c r="E317" s="498">
        <f>COUNTIF(D307:D316,$M$4)</f>
        <v>2</v>
      </c>
      <c r="F317" s="498"/>
      <c r="G317" s="498"/>
      <c r="H317" s="498"/>
      <c r="I317" s="498"/>
      <c r="J317" s="499"/>
    </row>
    <row r="318" spans="2:10"/>
    <row r="319" spans="2:10" ht="15">
      <c r="B319" s="726">
        <v>7.2</v>
      </c>
      <c r="C319" s="725" t="s">
        <v>502</v>
      </c>
      <c r="D319" s="723"/>
      <c r="J319" s="753" t="str">
        <f>IF(J320=0,$L$3,"")</f>
        <v/>
      </c>
    </row>
    <row r="320" spans="2:10" hidden="1">
      <c r="D320" s="392"/>
      <c r="E320" s="393"/>
      <c r="F320" s="394"/>
      <c r="G320" s="394"/>
      <c r="H320" s="395" t="s">
        <v>480</v>
      </c>
      <c r="I320" s="395"/>
      <c r="J320" s="396">
        <f>スコア!M62</f>
        <v>1</v>
      </c>
    </row>
    <row r="321" spans="1:10">
      <c r="D321" s="641">
        <f>D329</f>
        <v>3</v>
      </c>
      <c r="E321" s="404" t="s">
        <v>351</v>
      </c>
      <c r="F321" s="404"/>
      <c r="G321" s="404"/>
      <c r="H321" s="404"/>
      <c r="I321" s="404"/>
      <c r="J321" s="500" t="s">
        <v>388</v>
      </c>
    </row>
    <row r="322" spans="1:10" ht="21.6" customHeight="1">
      <c r="A322" s="1" t="s">
        <v>201</v>
      </c>
      <c r="D322" s="398" t="str">
        <f>IF(D321=$L$11,$M$6,IF(ROUNDDOWN(D321,0)=$L$6,$N$6,$M$6))</f>
        <v>　レベル　1</v>
      </c>
      <c r="E322" s="667" t="s">
        <v>144</v>
      </c>
      <c r="F322" s="473"/>
      <c r="G322" s="473"/>
      <c r="H322" s="473"/>
      <c r="I322" s="473"/>
      <c r="J322" s="953" t="s">
        <v>955</v>
      </c>
    </row>
    <row r="323" spans="1:10" ht="25.9" customHeight="1">
      <c r="A323" s="1">
        <v>2</v>
      </c>
      <c r="D323" s="398" t="str">
        <f>IF(D321=$L$11,$M$7,IF(ROUNDDOWN(D321,0)=$L$7,$N$7,$M$7))</f>
        <v>　レベル　2</v>
      </c>
      <c r="E323" s="950" t="s">
        <v>676</v>
      </c>
      <c r="F323" s="952"/>
      <c r="G323" s="952"/>
      <c r="H323" s="952"/>
      <c r="I323" s="951"/>
      <c r="J323" s="954"/>
    </row>
    <row r="324" spans="1:10" ht="25.9" customHeight="1">
      <c r="A324" s="1">
        <v>3</v>
      </c>
      <c r="D324" s="398" t="str">
        <f>IF(D321=$L$11,$M$8,IF(ROUNDDOWN(D321,0)=$L$8,$N$8,$M$8))</f>
        <v>■レベル　3</v>
      </c>
      <c r="E324" s="950" t="s">
        <v>619</v>
      </c>
      <c r="F324" s="952"/>
      <c r="G324" s="952"/>
      <c r="H324" s="952"/>
      <c r="I324" s="951"/>
      <c r="J324" s="954"/>
    </row>
    <row r="325" spans="1:10" ht="25.9" customHeight="1">
      <c r="A325" s="1">
        <v>4</v>
      </c>
      <c r="D325" s="398" t="str">
        <f>IF(D321=$L$11,$M$9,IF(ROUNDDOWN(D321,0)=$L$9,$N$9,$M$9))</f>
        <v>　レベル　4</v>
      </c>
      <c r="E325" s="950" t="s">
        <v>776</v>
      </c>
      <c r="F325" s="952"/>
      <c r="G325" s="952"/>
      <c r="H325" s="952"/>
      <c r="I325" s="951"/>
      <c r="J325" s="954"/>
    </row>
    <row r="326" spans="1:10" ht="25.9" customHeight="1" thickBot="1">
      <c r="A326" s="1">
        <v>5</v>
      </c>
      <c r="D326" s="399" t="str">
        <f>IF(D321=$L$11,$M$10,IF(ROUNDDOWN(D321,0)=$L$10,$N$10,$M$10))</f>
        <v>　レベル　5</v>
      </c>
      <c r="E326" s="941" t="s">
        <v>618</v>
      </c>
      <c r="F326" s="942"/>
      <c r="G326" s="942"/>
      <c r="H326" s="942"/>
      <c r="I326" s="943"/>
      <c r="J326" s="955"/>
    </row>
    <row r="327" spans="1:10" ht="14.25" thickBot="1">
      <c r="A327" s="1" t="s">
        <v>440</v>
      </c>
      <c r="D327" s="397">
        <v>0</v>
      </c>
      <c r="E327" s="730" t="s">
        <v>237</v>
      </c>
      <c r="F327" s="451" t="s">
        <v>259</v>
      </c>
    </row>
    <row r="328" spans="1:10">
      <c r="D328" s="731" t="s">
        <v>816</v>
      </c>
    </row>
    <row r="329" spans="1:10" ht="26.45" customHeight="1" thickBot="1">
      <c r="D329" s="642">
        <f>IF(F327=$N$3,IF(E337&lt;=2,2,IF(E337=3,3,IF(E337&lt;=5,4,IF(E337&gt;=6,5)))),D327)</f>
        <v>3</v>
      </c>
      <c r="E329" s="407" t="s">
        <v>501</v>
      </c>
      <c r="F329" s="1008" t="s">
        <v>620</v>
      </c>
      <c r="G329" s="1009"/>
      <c r="H329" s="1010"/>
      <c r="I329" s="1006" t="s">
        <v>621</v>
      </c>
      <c r="J329" s="1007"/>
    </row>
    <row r="330" spans="1:10" ht="30.6" customHeight="1">
      <c r="D330" s="401" t="s">
        <v>238</v>
      </c>
      <c r="E330" s="511">
        <v>1</v>
      </c>
      <c r="F330" s="958" t="s">
        <v>764</v>
      </c>
      <c r="G330" s="957"/>
      <c r="H330" s="949"/>
      <c r="I330" s="948" t="s">
        <v>770</v>
      </c>
      <c r="J330" s="949"/>
    </row>
    <row r="331" spans="1:10" ht="30.6" customHeight="1">
      <c r="D331" s="402" t="s">
        <v>238</v>
      </c>
      <c r="E331" s="509">
        <v>2</v>
      </c>
      <c r="F331" s="956" t="s">
        <v>765</v>
      </c>
      <c r="G331" s="952"/>
      <c r="H331" s="951"/>
      <c r="I331" s="950" t="s">
        <v>771</v>
      </c>
      <c r="J331" s="951"/>
    </row>
    <row r="332" spans="1:10" ht="41.45" customHeight="1">
      <c r="D332" s="402"/>
      <c r="E332" s="509">
        <v>3</v>
      </c>
      <c r="F332" s="956" t="s">
        <v>766</v>
      </c>
      <c r="G332" s="952"/>
      <c r="H332" s="951"/>
      <c r="I332" s="950" t="s">
        <v>772</v>
      </c>
      <c r="J332" s="951"/>
    </row>
    <row r="333" spans="1:10" ht="40.15" customHeight="1">
      <c r="D333" s="402"/>
      <c r="E333" s="509">
        <v>4</v>
      </c>
      <c r="F333" s="956" t="s">
        <v>767</v>
      </c>
      <c r="G333" s="952"/>
      <c r="H333" s="951"/>
      <c r="I333" s="950" t="s">
        <v>767</v>
      </c>
      <c r="J333" s="951"/>
    </row>
    <row r="334" spans="1:10" ht="30.6" customHeight="1">
      <c r="D334" s="402"/>
      <c r="E334" s="509">
        <v>5</v>
      </c>
      <c r="F334" s="956" t="s">
        <v>768</v>
      </c>
      <c r="G334" s="952"/>
      <c r="H334" s="951"/>
      <c r="I334" s="950" t="s">
        <v>773</v>
      </c>
      <c r="J334" s="951"/>
    </row>
    <row r="335" spans="1:10" ht="30.6" customHeight="1">
      <c r="D335" s="402" t="s">
        <v>238</v>
      </c>
      <c r="E335" s="509">
        <v>6</v>
      </c>
      <c r="F335" s="956" t="s">
        <v>769</v>
      </c>
      <c r="G335" s="952"/>
      <c r="H335" s="951"/>
      <c r="I335" s="950" t="s">
        <v>774</v>
      </c>
      <c r="J335" s="951"/>
    </row>
    <row r="336" spans="1:10" ht="36.6" customHeight="1" thickBot="1">
      <c r="D336" s="612"/>
      <c r="E336" s="509">
        <v>7</v>
      </c>
      <c r="F336" s="985" t="s">
        <v>763</v>
      </c>
      <c r="G336" s="942"/>
      <c r="H336" s="943"/>
      <c r="I336" s="941" t="s">
        <v>775</v>
      </c>
      <c r="J336" s="943"/>
    </row>
    <row r="337" spans="1:10" ht="14.25">
      <c r="D337" s="454" t="s">
        <v>262</v>
      </c>
      <c r="E337" s="498">
        <f>COUNTIF(D330:D336,$M$4)</f>
        <v>3</v>
      </c>
      <c r="F337" s="498"/>
      <c r="G337" s="498"/>
      <c r="H337" s="498"/>
      <c r="I337" s="498"/>
      <c r="J337" s="499"/>
    </row>
    <row r="338" spans="1:10"/>
    <row r="339" spans="1:10" ht="15.75" thickBot="1">
      <c r="B339" s="726">
        <v>7.3</v>
      </c>
      <c r="C339" s="725" t="s">
        <v>389</v>
      </c>
      <c r="D339" s="723"/>
      <c r="J339" s="753" t="str">
        <f>IF(J340=0,$L$3,"")</f>
        <v/>
      </c>
    </row>
    <row r="340" spans="1:10" ht="14.25" hidden="1" thickBot="1">
      <c r="D340" s="392"/>
      <c r="E340" s="393"/>
      <c r="F340" s="394"/>
      <c r="G340" s="394"/>
      <c r="H340" s="395" t="s">
        <v>480</v>
      </c>
      <c r="I340" s="395"/>
      <c r="J340" s="396">
        <f>スコア!M63</f>
        <v>1</v>
      </c>
    </row>
    <row r="341" spans="1:10" ht="14.25" thickBot="1">
      <c r="D341" s="397">
        <v>3</v>
      </c>
      <c r="E341" s="436" t="s">
        <v>351</v>
      </c>
      <c r="F341" s="404"/>
      <c r="G341" s="404"/>
      <c r="H341" s="404"/>
      <c r="I341" s="404"/>
      <c r="J341" s="500" t="s">
        <v>388</v>
      </c>
    </row>
    <row r="342" spans="1:10" ht="13.15" customHeight="1">
      <c r="A342" s="1">
        <v>1</v>
      </c>
      <c r="D342" s="450" t="str">
        <f>IF(D341=$L$11,$M$6,IF(ROUNDDOWN(D341,0)=$L$6,$N$6,$M$6))</f>
        <v>　レベル　1</v>
      </c>
      <c r="E342" s="667" t="s">
        <v>622</v>
      </c>
      <c r="F342" s="473"/>
      <c r="G342" s="473"/>
      <c r="H342" s="473"/>
      <c r="I342" s="473"/>
      <c r="J342" s="953" t="s">
        <v>966</v>
      </c>
    </row>
    <row r="343" spans="1:10">
      <c r="A343" s="1" t="s">
        <v>440</v>
      </c>
      <c r="D343" s="398" t="str">
        <f>IF(D341=$L$11,$M$7,IF(ROUNDDOWN(D341,0)=$L$7,$N$7,$M$7))</f>
        <v>　レベル　2</v>
      </c>
      <c r="E343" s="668" t="s">
        <v>144</v>
      </c>
      <c r="F343" s="472"/>
      <c r="G343" s="472"/>
      <c r="H343" s="472"/>
      <c r="I343" s="472"/>
      <c r="J343" s="954"/>
    </row>
    <row r="344" spans="1:10">
      <c r="A344" s="1">
        <v>3</v>
      </c>
      <c r="D344" s="398" t="str">
        <f>IF(D341=$L$11,$M$8,IF(ROUNDDOWN(D341,0)=$L$8,$N$8,$M$8))</f>
        <v>■レベル　3</v>
      </c>
      <c r="E344" s="950" t="s">
        <v>623</v>
      </c>
      <c r="F344" s="952"/>
      <c r="G344" s="952"/>
      <c r="H344" s="952"/>
      <c r="I344" s="951"/>
      <c r="J344" s="954"/>
    </row>
    <row r="345" spans="1:10">
      <c r="A345" s="1">
        <v>4</v>
      </c>
      <c r="D345" s="398" t="str">
        <f>IF(D341=$L$11,$M$9,IF(ROUNDDOWN(D341,0)=$L$9,$N$9,$M$9))</f>
        <v>　レベル　4</v>
      </c>
      <c r="E345" s="950" t="s">
        <v>624</v>
      </c>
      <c r="F345" s="952"/>
      <c r="G345" s="952"/>
      <c r="H345" s="952"/>
      <c r="I345" s="951"/>
      <c r="J345" s="954"/>
    </row>
    <row r="346" spans="1:10">
      <c r="A346" s="1">
        <v>5</v>
      </c>
      <c r="D346" s="399" t="str">
        <f>IF(D341=$L$11,$M$10,IF(ROUNDDOWN(D341,0)=$L$10,$N$10,$M$10))</f>
        <v>　レベル　5</v>
      </c>
      <c r="E346" s="1003" t="s">
        <v>625</v>
      </c>
      <c r="F346" s="1004"/>
      <c r="G346" s="1004"/>
      <c r="H346" s="1004"/>
      <c r="I346" s="1005"/>
      <c r="J346" s="955"/>
    </row>
    <row r="347" spans="1:10">
      <c r="A347" s="1" t="s">
        <v>440</v>
      </c>
    </row>
    <row r="348" spans="1:10" ht="15">
      <c r="B348" s="726">
        <v>7.4</v>
      </c>
      <c r="C348" s="725" t="s">
        <v>390</v>
      </c>
      <c r="D348" s="723"/>
      <c r="J348" s="753"/>
    </row>
    <row r="349" spans="1:10" ht="15.75" thickBot="1">
      <c r="B349" s="726"/>
      <c r="C349" s="725"/>
      <c r="D349" s="723" t="s">
        <v>928</v>
      </c>
      <c r="J349" s="753" t="str">
        <f>IF(J350=0,$L$3,"")</f>
        <v/>
      </c>
    </row>
    <row r="350" spans="1:10" ht="14.25" hidden="1" thickBot="1">
      <c r="D350" s="392"/>
      <c r="E350" s="393"/>
      <c r="F350" s="394"/>
      <c r="G350" s="394"/>
      <c r="H350" s="395" t="s">
        <v>480</v>
      </c>
      <c r="I350" s="395"/>
      <c r="J350" s="396">
        <f>スコア!M64</f>
        <v>1</v>
      </c>
    </row>
    <row r="351" spans="1:10" ht="14.25" thickBot="1">
      <c r="D351" s="397">
        <v>3</v>
      </c>
      <c r="E351" s="436" t="s">
        <v>351</v>
      </c>
      <c r="F351" s="404"/>
      <c r="G351" s="404"/>
      <c r="H351" s="404"/>
      <c r="I351" s="404"/>
      <c r="J351" s="405"/>
    </row>
    <row r="352" spans="1:10">
      <c r="A352" s="1">
        <v>1</v>
      </c>
      <c r="D352" s="450" t="str">
        <f>IF(D351=$L$11,$M$6,IF(ROUNDDOWN(D351,0)=$L$6,$N$6,$M$6))</f>
        <v>　レベル　1</v>
      </c>
      <c r="E352" s="667" t="s">
        <v>777</v>
      </c>
      <c r="F352" s="473"/>
      <c r="G352" s="473"/>
      <c r="H352" s="473"/>
      <c r="I352" s="473"/>
      <c r="J352" s="408"/>
    </row>
    <row r="353" spans="1:10">
      <c r="A353" s="1" t="s">
        <v>440</v>
      </c>
      <c r="D353" s="398" t="str">
        <f>IF(D351=$L$11,$M$7,IF(ROUNDDOWN(D351,0)=$L$7,$N$7,$M$7))</f>
        <v>　レベル　2</v>
      </c>
      <c r="E353" s="668" t="s">
        <v>144</v>
      </c>
      <c r="F353" s="472"/>
      <c r="G353" s="472"/>
      <c r="H353" s="472"/>
      <c r="I353" s="472"/>
      <c r="J353" s="475"/>
    </row>
    <row r="354" spans="1:10">
      <c r="A354" s="1">
        <v>3</v>
      </c>
      <c r="D354" s="398" t="str">
        <f>IF(D351=$L$11,$M$8,IF(ROUNDDOWN(D351,0)=$L$8,$N$8,$M$8))</f>
        <v>■レベル　3</v>
      </c>
      <c r="E354" s="668" t="s">
        <v>778</v>
      </c>
      <c r="F354" s="472"/>
      <c r="G354" s="472"/>
      <c r="H354" s="472"/>
      <c r="I354" s="472"/>
      <c r="J354" s="475"/>
    </row>
    <row r="355" spans="1:10">
      <c r="A355" s="1" t="s">
        <v>201</v>
      </c>
      <c r="D355" s="398" t="str">
        <f>IF(D351=$L$11,$M$9,IF(ROUNDDOWN(D351,0)=$L$9,$N$9,$M$9))</f>
        <v>　レベル　4</v>
      </c>
      <c r="E355" s="668" t="s">
        <v>144</v>
      </c>
      <c r="F355" s="472"/>
      <c r="G355" s="472"/>
      <c r="H355" s="472"/>
      <c r="I355" s="472"/>
      <c r="J355" s="475"/>
    </row>
    <row r="356" spans="1:10">
      <c r="A356" s="1">
        <v>5</v>
      </c>
      <c r="D356" s="399" t="str">
        <f>IF(D351=$L$11,$M$10,IF(ROUNDDOWN(D351,0)=$L$10,$N$10,$M$10))</f>
        <v>　レベル　5</v>
      </c>
      <c r="E356" s="941" t="s">
        <v>779</v>
      </c>
      <c r="F356" s="942"/>
      <c r="G356" s="942"/>
      <c r="H356" s="942"/>
      <c r="I356" s="942"/>
      <c r="J356" s="943"/>
    </row>
    <row r="357" spans="1:10">
      <c r="A357" s="1" t="s">
        <v>440</v>
      </c>
    </row>
    <row r="358" spans="1:10" ht="15.75" thickBot="1">
      <c r="B358" s="726"/>
      <c r="C358" s="725"/>
      <c r="D358" s="723" t="s">
        <v>929</v>
      </c>
      <c r="J358" s="753" t="str">
        <f>IF(J359=0,$L$3,"")</f>
        <v/>
      </c>
    </row>
    <row r="359" spans="1:10" ht="14.25" hidden="1" thickBot="1">
      <c r="D359" s="392"/>
      <c r="E359" s="393"/>
      <c r="F359" s="394"/>
      <c r="G359" s="394"/>
      <c r="H359" s="395" t="s">
        <v>480</v>
      </c>
      <c r="I359" s="395"/>
      <c r="J359" s="396">
        <f>スコア!M65</f>
        <v>1</v>
      </c>
    </row>
    <row r="360" spans="1:10">
      <c r="D360" s="939">
        <v>3</v>
      </c>
      <c r="E360" s="404" t="s">
        <v>351</v>
      </c>
      <c r="F360" s="404"/>
      <c r="G360" s="404"/>
      <c r="H360" s="404"/>
      <c r="I360" s="404"/>
      <c r="J360" s="405"/>
    </row>
    <row r="361" spans="1:10" ht="14.25" thickBot="1">
      <c r="D361" s="940"/>
      <c r="E361" s="644" t="s">
        <v>626</v>
      </c>
      <c r="F361" s="644"/>
      <c r="G361" s="644"/>
      <c r="H361" s="678" t="s">
        <v>627</v>
      </c>
      <c r="I361" s="644"/>
      <c r="J361" s="679"/>
    </row>
    <row r="362" spans="1:10" ht="50.45" customHeight="1">
      <c r="A362" s="1">
        <v>1</v>
      </c>
      <c r="D362" s="450" t="str">
        <f>IF(D360=$L$11,$M$6,IF(ROUNDDOWN(D360,0)=$L$6,$N$6,$M$6))</f>
        <v>　レベル　1</v>
      </c>
      <c r="E362" s="948" t="s">
        <v>780</v>
      </c>
      <c r="F362" s="957"/>
      <c r="G362" s="949"/>
      <c r="H362" s="566" t="s">
        <v>628</v>
      </c>
      <c r="I362" s="671"/>
      <c r="J362" s="555"/>
    </row>
    <row r="363" spans="1:10">
      <c r="A363" s="1" t="s">
        <v>440</v>
      </c>
      <c r="D363" s="398" t="str">
        <f>IF(D360=$L$11,$M$7,IF(ROUNDDOWN(D360,0)=$L$7,$N$7,$M$7))</f>
        <v>　レベル　2</v>
      </c>
      <c r="E363" s="668" t="s">
        <v>144</v>
      </c>
      <c r="F363" s="472"/>
      <c r="G363" s="472"/>
      <c r="H363" s="668" t="s">
        <v>144</v>
      </c>
      <c r="I363" s="472"/>
      <c r="J363" s="475"/>
    </row>
    <row r="364" spans="1:10" ht="48.6" customHeight="1">
      <c r="A364" s="1">
        <v>3</v>
      </c>
      <c r="D364" s="398" t="str">
        <f>IF(D360=$L$11,$M$8,IF(ROUNDDOWN(D360,0)=$L$8,$N$8,$M$8))</f>
        <v>■レベル　3</v>
      </c>
      <c r="E364" s="950" t="s">
        <v>781</v>
      </c>
      <c r="F364" s="952"/>
      <c r="G364" s="951"/>
      <c r="H364" s="950" t="s">
        <v>629</v>
      </c>
      <c r="I364" s="952"/>
      <c r="J364" s="951"/>
    </row>
    <row r="365" spans="1:10">
      <c r="A365" s="1" t="s">
        <v>201</v>
      </c>
      <c r="D365" s="398" t="str">
        <f>IF(D360=$L$11,$M$9,IF(ROUNDDOWN(D360,0)=$L$9,$N$9,$M$9))</f>
        <v>　レベル　4</v>
      </c>
      <c r="E365" s="668" t="s">
        <v>144</v>
      </c>
      <c r="F365" s="472"/>
      <c r="G365" s="472"/>
      <c r="H365" s="668" t="s">
        <v>144</v>
      </c>
      <c r="I365" s="472"/>
      <c r="J365" s="475"/>
    </row>
    <row r="366" spans="1:10" ht="48" customHeight="1">
      <c r="A366" s="1">
        <v>5</v>
      </c>
      <c r="D366" s="399" t="str">
        <f>IF(D360=$L$11,$M$10,IF(ROUNDDOWN(D360,0)=$L$10,$N$10,$M$10))</f>
        <v>　レベル　5</v>
      </c>
      <c r="E366" s="941" t="s">
        <v>782</v>
      </c>
      <c r="F366" s="942"/>
      <c r="G366" s="943"/>
      <c r="H366" s="640" t="s">
        <v>630</v>
      </c>
      <c r="I366" s="638"/>
      <c r="J366" s="639"/>
    </row>
    <row r="367" spans="1:10">
      <c r="A367" s="1" t="s">
        <v>440</v>
      </c>
    </row>
    <row r="368" spans="1:10" ht="22.5">
      <c r="A368" s="669"/>
      <c r="D368" s="776" t="s">
        <v>38</v>
      </c>
      <c r="E368" s="767" t="s">
        <v>664</v>
      </c>
      <c r="F368" s="771" t="s">
        <v>406</v>
      </c>
      <c r="G368" s="772"/>
      <c r="H368" s="773" t="s">
        <v>673</v>
      </c>
      <c r="I368" s="771" t="s">
        <v>406</v>
      </c>
      <c r="J368" s="774"/>
    </row>
    <row r="369" spans="1:10">
      <c r="A369" s="669"/>
      <c r="D369" s="769"/>
      <c r="E369" s="767" t="s">
        <v>665</v>
      </c>
      <c r="F369" s="702" t="s">
        <v>669</v>
      </c>
      <c r="G369" s="703"/>
      <c r="H369" s="701" t="s">
        <v>665</v>
      </c>
      <c r="I369" s="702" t="s">
        <v>669</v>
      </c>
      <c r="J369" s="704"/>
    </row>
    <row r="370" spans="1:10">
      <c r="A370" s="669"/>
      <c r="D370" s="770"/>
      <c r="E370" s="767" t="s">
        <v>666</v>
      </c>
      <c r="F370" s="702" t="s">
        <v>670</v>
      </c>
      <c r="G370" s="703"/>
      <c r="H370" s="701" t="s">
        <v>666</v>
      </c>
      <c r="I370" s="702" t="s">
        <v>670</v>
      </c>
      <c r="J370" s="704"/>
    </row>
    <row r="371" spans="1:10">
      <c r="A371" s="669"/>
      <c r="D371" s="770"/>
      <c r="E371" s="767" t="s">
        <v>667</v>
      </c>
      <c r="F371" s="702" t="s">
        <v>671</v>
      </c>
      <c r="G371" s="703"/>
      <c r="H371" s="701" t="s">
        <v>674</v>
      </c>
      <c r="I371" s="702" t="s">
        <v>671</v>
      </c>
      <c r="J371" s="704"/>
    </row>
    <row r="372" spans="1:10" ht="14.25" thickBot="1">
      <c r="A372" s="669"/>
      <c r="D372" s="770"/>
      <c r="E372" s="768" t="s">
        <v>668</v>
      </c>
      <c r="F372" s="702" t="s">
        <v>672</v>
      </c>
      <c r="G372" s="703"/>
      <c r="H372" s="701" t="s">
        <v>675</v>
      </c>
      <c r="I372" s="702" t="s">
        <v>672</v>
      </c>
      <c r="J372" s="704"/>
    </row>
    <row r="373" spans="1:10" ht="14.25" thickBot="1">
      <c r="A373" s="669"/>
      <c r="D373" s="775" t="str">
        <f>(F373+I373)&amp;"ポイント"</f>
        <v>0ポイント</v>
      </c>
      <c r="E373" s="764">
        <v>0</v>
      </c>
      <c r="F373" s="766">
        <f>IF(E373&gt;=3,3,E373)</f>
        <v>0</v>
      </c>
      <c r="G373" s="765" t="s">
        <v>261</v>
      </c>
      <c r="H373" s="764">
        <v>0</v>
      </c>
      <c r="I373" s="766">
        <f>IF(H373&gt;=5,3,IF(H373&gt;2,2,H373))</f>
        <v>0</v>
      </c>
      <c r="J373" s="704" t="s">
        <v>261</v>
      </c>
    </row>
    <row r="374" spans="1:10">
      <c r="A374" s="669"/>
    </row>
    <row r="375" spans="1:10" ht="15.75" thickBot="1">
      <c r="B375" s="726">
        <v>7.5</v>
      </c>
      <c r="C375" s="725" t="s">
        <v>391</v>
      </c>
      <c r="D375" s="723"/>
      <c r="J375" s="753" t="str">
        <f>IF(J376=0,$L$3,"")</f>
        <v/>
      </c>
    </row>
    <row r="376" spans="1:10" ht="14.25" hidden="1" thickBot="1">
      <c r="D376" s="392"/>
      <c r="E376" s="393"/>
      <c r="F376" s="394"/>
      <c r="G376" s="394"/>
      <c r="H376" s="395" t="s">
        <v>480</v>
      </c>
      <c r="I376" s="395"/>
      <c r="J376" s="396">
        <f>スコア!M66</f>
        <v>1</v>
      </c>
    </row>
    <row r="377" spans="1:10" ht="14.25" thickBot="1">
      <c r="D377" s="397">
        <v>3</v>
      </c>
      <c r="E377" s="436" t="s">
        <v>351</v>
      </c>
      <c r="F377" s="404"/>
      <c r="G377" s="404"/>
      <c r="H377" s="404"/>
      <c r="I377" s="721"/>
      <c r="J377" s="500" t="s">
        <v>388</v>
      </c>
    </row>
    <row r="378" spans="1:10" ht="13.15" customHeight="1">
      <c r="A378" s="1">
        <v>1</v>
      </c>
      <c r="D378" s="450" t="str">
        <f>IF(D377=$L$11,$M$6,IF(ROUNDDOWN(D377,0)=$L$6,$N$6,$M$6))</f>
        <v>　レベル　1</v>
      </c>
      <c r="E378" s="667" t="s">
        <v>631</v>
      </c>
      <c r="F378" s="473"/>
      <c r="G378" s="473"/>
      <c r="H378" s="473"/>
      <c r="I378" s="473"/>
      <c r="J378" s="953" t="s">
        <v>966</v>
      </c>
    </row>
    <row r="379" spans="1:10">
      <c r="A379" s="1" t="s">
        <v>440</v>
      </c>
      <c r="D379" s="398" t="str">
        <f>IF(D377=$L$11,$M$7,IF(ROUNDDOWN(D377,0)=$L$7,$N$7,$M$7))</f>
        <v>　レベル　2</v>
      </c>
      <c r="E379" s="668" t="s">
        <v>144</v>
      </c>
      <c r="F379" s="472"/>
      <c r="G379" s="472"/>
      <c r="H379" s="472"/>
      <c r="I379" s="472"/>
      <c r="J379" s="954"/>
    </row>
    <row r="380" spans="1:10">
      <c r="A380" s="1">
        <v>3</v>
      </c>
      <c r="D380" s="398" t="str">
        <f>IF(D377=$L$11,$M$8,IF(ROUNDDOWN(D377,0)=$L$8,$N$8,$M$8))</f>
        <v>■レベル　3</v>
      </c>
      <c r="E380" s="668" t="s">
        <v>632</v>
      </c>
      <c r="F380" s="472"/>
      <c r="G380" s="472"/>
      <c r="H380" s="472"/>
      <c r="I380" s="472"/>
      <c r="J380" s="954"/>
    </row>
    <row r="381" spans="1:10">
      <c r="A381" s="1" t="s">
        <v>201</v>
      </c>
      <c r="D381" s="398" t="str">
        <f>IF(D377=$L$11,$M$9,IF(ROUNDDOWN(D377,0)=$L$9,$N$9,$M$9))</f>
        <v>　レベル　4</v>
      </c>
      <c r="E381" s="668" t="s">
        <v>144</v>
      </c>
      <c r="F381" s="472"/>
      <c r="G381" s="472"/>
      <c r="H381" s="472"/>
      <c r="I381" s="472"/>
      <c r="J381" s="954"/>
    </row>
    <row r="382" spans="1:10">
      <c r="A382" s="1">
        <v>5</v>
      </c>
      <c r="D382" s="399" t="str">
        <f>IF(D377=$L$11,$M$10,IF(ROUNDDOWN(D377,0)=$L$10,$N$10,$M$10))</f>
        <v>　レベル　5</v>
      </c>
      <c r="E382" s="650" t="s">
        <v>633</v>
      </c>
      <c r="F382" s="474"/>
      <c r="G382" s="474"/>
      <c r="H382" s="474"/>
      <c r="I382" s="474"/>
      <c r="J382" s="955"/>
    </row>
    <row r="383" spans="1:10">
      <c r="A383" s="1" t="s">
        <v>440</v>
      </c>
    </row>
    <row r="384" spans="1:10" ht="15">
      <c r="B384" s="726">
        <v>8</v>
      </c>
      <c r="C384" s="725" t="s">
        <v>344</v>
      </c>
      <c r="D384" s="723"/>
      <c r="J384" s="729"/>
    </row>
    <row r="385" spans="1:10" ht="15.75" thickBot="1">
      <c r="B385" s="726">
        <v>8.1</v>
      </c>
      <c r="C385" s="725" t="s">
        <v>392</v>
      </c>
      <c r="D385" s="723"/>
      <c r="J385" s="753" t="str">
        <f>IF(J386=0,$L$3,"")</f>
        <v/>
      </c>
    </row>
    <row r="386" spans="1:10" ht="14.25" hidden="1" thickBot="1">
      <c r="D386" s="392"/>
      <c r="E386" s="393"/>
      <c r="F386" s="394"/>
      <c r="G386" s="394"/>
      <c r="H386" s="395" t="s">
        <v>480</v>
      </c>
      <c r="I386" s="395"/>
      <c r="J386" s="396">
        <f>スコア!M68</f>
        <v>1</v>
      </c>
    </row>
    <row r="387" spans="1:10">
      <c r="D387" s="939">
        <v>3</v>
      </c>
      <c r="E387" s="404" t="s">
        <v>351</v>
      </c>
      <c r="F387" s="404"/>
      <c r="G387" s="404"/>
      <c r="H387" s="404"/>
      <c r="I387" s="404"/>
      <c r="J387" s="405"/>
    </row>
    <row r="388" spans="1:10" ht="14.25" thickBot="1">
      <c r="D388" s="940"/>
      <c r="E388" s="947" t="s">
        <v>462</v>
      </c>
      <c r="F388" s="946"/>
      <c r="G388" s="613"/>
      <c r="H388" s="986" t="s">
        <v>463</v>
      </c>
      <c r="I388" s="986"/>
      <c r="J388" s="500" t="s">
        <v>388</v>
      </c>
    </row>
    <row r="389" spans="1:10" ht="13.15" customHeight="1">
      <c r="A389" s="1" t="s">
        <v>201</v>
      </c>
      <c r="D389" s="450" t="str">
        <f>IF(D387=$L$11,$M$6,IF(ROUNDDOWN(D387,0)=$L$6,$N$6,$M$6))</f>
        <v>　レベル　1</v>
      </c>
      <c r="E389" s="667" t="s">
        <v>144</v>
      </c>
      <c r="F389" s="473"/>
      <c r="G389" s="707"/>
      <c r="H389" s="566" t="s">
        <v>144</v>
      </c>
      <c r="I389" s="705"/>
      <c r="J389" s="953" t="s">
        <v>962</v>
      </c>
    </row>
    <row r="390" spans="1:10">
      <c r="A390" s="1">
        <v>2</v>
      </c>
      <c r="D390" s="398" t="str">
        <f>IF(D387=$L$11,$M$7,IF(ROUNDDOWN(D387,0)=$L$7,$N$7,$M$7))</f>
        <v>　レベル　2</v>
      </c>
      <c r="E390" s="668" t="s">
        <v>634</v>
      </c>
      <c r="F390" s="472"/>
      <c r="G390" s="706"/>
      <c r="H390" s="680" t="s">
        <v>634</v>
      </c>
      <c r="I390" s="565"/>
      <c r="J390" s="954"/>
    </row>
    <row r="391" spans="1:10" ht="30.6" customHeight="1">
      <c r="A391" s="1">
        <v>3</v>
      </c>
      <c r="D391" s="398" t="str">
        <f>IF(D387=$L$11,$M$8,IF(ROUNDDOWN(D387,0)=$L$8,$N$8,$M$8))</f>
        <v>■レベル　3</v>
      </c>
      <c r="E391" s="950" t="s">
        <v>783</v>
      </c>
      <c r="F391" s="952"/>
      <c r="G391" s="951"/>
      <c r="H391" s="950" t="s">
        <v>635</v>
      </c>
      <c r="I391" s="951"/>
      <c r="J391" s="954"/>
    </row>
    <row r="392" spans="1:10">
      <c r="A392" s="1" t="s">
        <v>481</v>
      </c>
      <c r="D392" s="398" t="str">
        <f>IF(D387=$L$11,$M$9,IF(ROUNDDOWN(D387,0)=$L$9,$N$9,$M$9))</f>
        <v>　レベル　4</v>
      </c>
      <c r="E392" s="668" t="s">
        <v>144</v>
      </c>
      <c r="F392" s="472"/>
      <c r="G392" s="706"/>
      <c r="H392" s="652" t="s">
        <v>144</v>
      </c>
      <c r="I392" s="700"/>
      <c r="J392" s="954"/>
    </row>
    <row r="393" spans="1:10" ht="26.45" customHeight="1">
      <c r="A393" s="1">
        <v>5</v>
      </c>
      <c r="D393" s="399" t="str">
        <f>IF(D387=$L$11,$M$10,IF(ROUNDDOWN(D387,0)=$L$10,$N$10,$M$10))</f>
        <v>　レベル　5</v>
      </c>
      <c r="E393" s="941" t="s">
        <v>784</v>
      </c>
      <c r="F393" s="942"/>
      <c r="G393" s="943"/>
      <c r="H393" s="941" t="s">
        <v>636</v>
      </c>
      <c r="I393" s="943"/>
      <c r="J393" s="955"/>
    </row>
    <row r="394" spans="1:10">
      <c r="A394" s="1" t="s">
        <v>440</v>
      </c>
    </row>
  </sheetData>
  <sheetProtection algorithmName="SHA-512" hashValue="27ofU6jsc+tpBbUXLVfzn1QLSzFMGNrYNaNNo8OhBhrWjYmGnMfWC3wG2WhIcJTLrJUPxxc6W48mKmiBB8bGXg==" saltValue="/hBI7752t1zgNGOWAabgyg==" spinCount="100000" sheet="1" objects="1" scenarios="1"/>
  <mergeCells count="148">
    <mergeCell ref="I334:J334"/>
    <mergeCell ref="I335:J335"/>
    <mergeCell ref="E300:J300"/>
    <mergeCell ref="E301:J301"/>
    <mergeCell ref="E302:J302"/>
    <mergeCell ref="E303:J303"/>
    <mergeCell ref="E323:I323"/>
    <mergeCell ref="E324:I324"/>
    <mergeCell ref="F310:J310"/>
    <mergeCell ref="F315:J315"/>
    <mergeCell ref="F314:J314"/>
    <mergeCell ref="F311:J311"/>
    <mergeCell ref="I329:J329"/>
    <mergeCell ref="F329:H329"/>
    <mergeCell ref="F330:H330"/>
    <mergeCell ref="F331:H331"/>
    <mergeCell ref="F332:H332"/>
    <mergeCell ref="F334:H334"/>
    <mergeCell ref="F335:H335"/>
    <mergeCell ref="F312:J312"/>
    <mergeCell ref="J389:J393"/>
    <mergeCell ref="E393:G393"/>
    <mergeCell ref="E362:G362"/>
    <mergeCell ref="H391:I391"/>
    <mergeCell ref="H393:I393"/>
    <mergeCell ref="E391:G391"/>
    <mergeCell ref="D360:D361"/>
    <mergeCell ref="E346:I346"/>
    <mergeCell ref="D387:D388"/>
    <mergeCell ref="E356:J356"/>
    <mergeCell ref="J342:J346"/>
    <mergeCell ref="E345:I345"/>
    <mergeCell ref="E388:F388"/>
    <mergeCell ref="E366:G366"/>
    <mergeCell ref="E364:G364"/>
    <mergeCell ref="E344:I344"/>
    <mergeCell ref="H388:I388"/>
    <mergeCell ref="J378:J382"/>
    <mergeCell ref="H364:J364"/>
    <mergeCell ref="F336:H336"/>
    <mergeCell ref="D166:D167"/>
    <mergeCell ref="E282:J282"/>
    <mergeCell ref="E283:J283"/>
    <mergeCell ref="E248:J248"/>
    <mergeCell ref="E258:J258"/>
    <mergeCell ref="E226:F226"/>
    <mergeCell ref="G226:I226"/>
    <mergeCell ref="D193:J193"/>
    <mergeCell ref="E284:J284"/>
    <mergeCell ref="D250:J250"/>
    <mergeCell ref="D259:J259"/>
    <mergeCell ref="E208:J208"/>
    <mergeCell ref="E239:J239"/>
    <mergeCell ref="E240:J240"/>
    <mergeCell ref="E325:I325"/>
    <mergeCell ref="E245:J245"/>
    <mergeCell ref="E247:J247"/>
    <mergeCell ref="E249:J249"/>
    <mergeCell ref="I336:J336"/>
    <mergeCell ref="I330:J330"/>
    <mergeCell ref="I332:J332"/>
    <mergeCell ref="F272:J272"/>
    <mergeCell ref="G225:I225"/>
    <mergeCell ref="G227:I227"/>
    <mergeCell ref="E228:F228"/>
    <mergeCell ref="G228:I228"/>
    <mergeCell ref="I333:J333"/>
    <mergeCell ref="F333:H333"/>
    <mergeCell ref="J322:J326"/>
    <mergeCell ref="E326:I326"/>
    <mergeCell ref="E143:J143"/>
    <mergeCell ref="E152:J152"/>
    <mergeCell ref="E229:F229"/>
    <mergeCell ref="E167:F167"/>
    <mergeCell ref="H167:J167"/>
    <mergeCell ref="E172:F172"/>
    <mergeCell ref="H172:J172"/>
    <mergeCell ref="G229:I229"/>
    <mergeCell ref="E210:J210"/>
    <mergeCell ref="G224:I224"/>
    <mergeCell ref="E209:J209"/>
    <mergeCell ref="I331:J331"/>
    <mergeCell ref="F274:J274"/>
    <mergeCell ref="J216:J220"/>
    <mergeCell ref="J264:J268"/>
    <mergeCell ref="E266:I266"/>
    <mergeCell ref="E267:I267"/>
    <mergeCell ref="D127:D128"/>
    <mergeCell ref="H131:J131"/>
    <mergeCell ref="H132:J132"/>
    <mergeCell ref="H133:J133"/>
    <mergeCell ref="E131:G131"/>
    <mergeCell ref="E132:G132"/>
    <mergeCell ref="E133:G133"/>
    <mergeCell ref="H129:J129"/>
    <mergeCell ref="H130:J130"/>
    <mergeCell ref="E129:G129"/>
    <mergeCell ref="E130:G130"/>
    <mergeCell ref="E128:F128"/>
    <mergeCell ref="H128:J128"/>
    <mergeCell ref="E69:J69"/>
    <mergeCell ref="E70:J70"/>
    <mergeCell ref="E71:J71"/>
    <mergeCell ref="F121:J121"/>
    <mergeCell ref="J104:J108"/>
    <mergeCell ref="E106:I106"/>
    <mergeCell ref="E107:I107"/>
    <mergeCell ref="H92:J92"/>
    <mergeCell ref="J85:J89"/>
    <mergeCell ref="H96:J96"/>
    <mergeCell ref="H98:J98"/>
    <mergeCell ref="H97:J97"/>
    <mergeCell ref="E96:G96"/>
    <mergeCell ref="E97:G97"/>
    <mergeCell ref="E98:G98"/>
    <mergeCell ref="E95:G95"/>
    <mergeCell ref="H95:J95"/>
    <mergeCell ref="E93:G93"/>
    <mergeCell ref="E94:G94"/>
    <mergeCell ref="E88:I88"/>
    <mergeCell ref="E80:J80"/>
    <mergeCell ref="E89:I89"/>
    <mergeCell ref="H93:J93"/>
    <mergeCell ref="H94:J94"/>
    <mergeCell ref="E191:J191"/>
    <mergeCell ref="D29:D30"/>
    <mergeCell ref="E23:F23"/>
    <mergeCell ref="J9:J13"/>
    <mergeCell ref="E13:I13"/>
    <mergeCell ref="E17:F17"/>
    <mergeCell ref="G17:I17"/>
    <mergeCell ref="E18:F18"/>
    <mergeCell ref="E19:F19"/>
    <mergeCell ref="E20:F20"/>
    <mergeCell ref="E21:F21"/>
    <mergeCell ref="E22:F22"/>
    <mergeCell ref="F39:J39"/>
    <mergeCell ref="F40:J40"/>
    <mergeCell ref="F41:J41"/>
    <mergeCell ref="F42:J42"/>
    <mergeCell ref="E30:F30"/>
    <mergeCell ref="H30:J30"/>
    <mergeCell ref="G18:I18"/>
    <mergeCell ref="G19:I19"/>
    <mergeCell ref="G20:I20"/>
    <mergeCell ref="G21:I21"/>
    <mergeCell ref="G22:I22"/>
    <mergeCell ref="E78:J78"/>
  </mergeCells>
  <phoneticPr fontId="23"/>
  <conditionalFormatting sqref="D14">
    <cfRule type="expression" dxfId="85" priority="31" stopIfTrue="1">
      <formula>AND(J7&gt;0,F14=$N$4)</formula>
    </cfRule>
    <cfRule type="expression" dxfId="84" priority="30" stopIfTrue="1">
      <formula>AND(OR(D14&lt;1,D14&gt;5),D14&lt;&gt;0)</formula>
    </cfRule>
  </conditionalFormatting>
  <conditionalFormatting sqref="D17:D23">
    <cfRule type="expression" dxfId="83" priority="79" stopIfTrue="1">
      <formula>AND($J$7&gt;0,$F$14=$N$3)</formula>
    </cfRule>
  </conditionalFormatting>
  <conditionalFormatting sqref="D36">
    <cfRule type="expression" dxfId="82" priority="28" stopIfTrue="1">
      <formula>AND(J28&gt;0,F36=$N$4)</formula>
    </cfRule>
    <cfRule type="expression" dxfId="81" priority="27" stopIfTrue="1">
      <formula>AND(OR(D36&lt;1,D36&gt;5),D36&lt;&gt;0)</formula>
    </cfRule>
  </conditionalFormatting>
  <conditionalFormatting sqref="D39:D42">
    <cfRule type="expression" dxfId="80" priority="72">
      <formula>AND($J$28&gt;0,$F$36=$N$3)</formula>
    </cfRule>
  </conditionalFormatting>
  <conditionalFormatting sqref="D53">
    <cfRule type="expression" dxfId="79" priority="24" stopIfTrue="1">
      <formula>AND(OR(D53&lt;1,D53&gt;5),D53&lt;&gt;0)</formula>
    </cfRule>
    <cfRule type="expression" dxfId="78" priority="25" stopIfTrue="1">
      <formula>AND(J46&gt;0,F53=$N$4)</formula>
    </cfRule>
  </conditionalFormatting>
  <conditionalFormatting sqref="D56:D60">
    <cfRule type="expression" dxfId="77" priority="8">
      <formula>AND($J$46&gt;0,$F$53=$N$3)</formula>
    </cfRule>
  </conditionalFormatting>
  <conditionalFormatting sqref="D66">
    <cfRule type="expression" dxfId="76" priority="63" stopIfTrue="1">
      <formula>AND(OR(D66&lt;1,D66&gt;5),D66&lt;&gt;0)</formula>
    </cfRule>
    <cfRule type="expression" dxfId="75" priority="64" stopIfTrue="1">
      <formula>J65&gt;0</formula>
    </cfRule>
  </conditionalFormatting>
  <conditionalFormatting sqref="D75">
    <cfRule type="expression" dxfId="74" priority="62" stopIfTrue="1">
      <formula>J74&gt;0</formula>
    </cfRule>
    <cfRule type="expression" dxfId="73" priority="61" stopIfTrue="1">
      <formula>AND(OR(D75&lt;1,D75&gt;5),D75&lt;&gt;0)</formula>
    </cfRule>
  </conditionalFormatting>
  <conditionalFormatting sqref="D90">
    <cfRule type="expression" dxfId="72" priority="21" stopIfTrue="1">
      <formula>AND(OR(D90&lt;1,D90&gt;5),D90&lt;&gt;0)</formula>
    </cfRule>
    <cfRule type="expression" dxfId="71" priority="22" stopIfTrue="1">
      <formula>AND(J83&gt;0,F90=$N$4)</formula>
    </cfRule>
  </conditionalFormatting>
  <conditionalFormatting sqref="D93:D98">
    <cfRule type="expression" dxfId="70" priority="68" stopIfTrue="1">
      <formula>AND($J$83&gt;0,$F$90=$N$3)</formula>
    </cfRule>
  </conditionalFormatting>
  <conditionalFormatting sqref="D109">
    <cfRule type="expression" dxfId="69" priority="18" stopIfTrue="1">
      <formula>AND(OR(D109&lt;1,D109&gt;5),D109&lt;&gt;0)</formula>
    </cfRule>
    <cfRule type="expression" dxfId="68" priority="19" stopIfTrue="1">
      <formula>AND(J102&gt;0,F109=$N$4)</formula>
    </cfRule>
  </conditionalFormatting>
  <conditionalFormatting sqref="D112:D122">
    <cfRule type="expression" dxfId="67" priority="57">
      <formula>AND($J$102&gt;0,$F$109=$N$3)</formula>
    </cfRule>
  </conditionalFormatting>
  <conditionalFormatting sqref="D127">
    <cfRule type="expression" dxfId="66" priority="56" stopIfTrue="1">
      <formula>J126&gt;0</formula>
    </cfRule>
    <cfRule type="expression" dxfId="65" priority="55" stopIfTrue="1">
      <formula>AND(OR(D127&lt;1,D127&gt;5),D127&lt;&gt;0)</formula>
    </cfRule>
  </conditionalFormatting>
  <conditionalFormatting sqref="D138">
    <cfRule type="expression" dxfId="64" priority="54" stopIfTrue="1">
      <formula>J137&gt;0</formula>
    </cfRule>
    <cfRule type="expression" dxfId="63" priority="53" stopIfTrue="1">
      <formula>AND(OR(D138&lt;1,D138&gt;5),D138&lt;&gt;0)</formula>
    </cfRule>
  </conditionalFormatting>
  <conditionalFormatting sqref="D147">
    <cfRule type="expression" dxfId="62" priority="51" stopIfTrue="1">
      <formula>AND(OR(D147&lt;1,D147&gt;5),D147&lt;&gt;0)</formula>
    </cfRule>
    <cfRule type="expression" dxfId="61" priority="52" stopIfTrue="1">
      <formula>J146&gt;0</formula>
    </cfRule>
  </conditionalFormatting>
  <conditionalFormatting sqref="D157 D166 D177 D187 D196 D205 D235 D244 D253 D263 D279">
    <cfRule type="expression" dxfId="60" priority="49" stopIfTrue="1">
      <formula>J156&gt;0</formula>
    </cfRule>
    <cfRule type="expression" dxfId="59" priority="48" stopIfTrue="1">
      <formula>AND(OR(D157&lt;1,D157&gt;5),D157&lt;&gt;0)</formula>
    </cfRule>
  </conditionalFormatting>
  <conditionalFormatting sqref="D221">
    <cfRule type="expression" dxfId="58" priority="16" stopIfTrue="1">
      <formula>AND(J214&gt;0,F221=$N$4)</formula>
    </cfRule>
    <cfRule type="expression" dxfId="57" priority="15" stopIfTrue="1">
      <formula>AND(OR(D221&lt;1,D221&gt;5),D221&lt;&gt;0)</formula>
    </cfRule>
  </conditionalFormatting>
  <conditionalFormatting sqref="D269">
    <cfRule type="expression" dxfId="56" priority="3" stopIfTrue="1">
      <formula>AND(OR(D269&lt;1,D269&gt;5),D269&lt;&gt;0)</formula>
    </cfRule>
    <cfRule type="expression" dxfId="55" priority="4" stopIfTrue="1">
      <formula>AND(J262&gt;0,F269=$N$4)</formula>
    </cfRule>
  </conditionalFormatting>
  <conditionalFormatting sqref="D272:D275">
    <cfRule type="expression" dxfId="54" priority="6">
      <formula>$J$262&gt;0</formula>
    </cfRule>
  </conditionalFormatting>
  <conditionalFormatting sqref="D288">
    <cfRule type="expression" dxfId="53" priority="43" stopIfTrue="1">
      <formula>AND(OR(D288&lt;1,D288&gt;5),D288&lt;&gt;0)</formula>
    </cfRule>
    <cfRule type="expression" dxfId="52" priority="44" stopIfTrue="1">
      <formula>J287&gt;0</formula>
    </cfRule>
  </conditionalFormatting>
  <conditionalFormatting sqref="D304">
    <cfRule type="expression" dxfId="51" priority="13" stopIfTrue="1">
      <formula>AND(J297&gt;0,F304=$N$4)</formula>
    </cfRule>
    <cfRule type="expression" dxfId="50" priority="12" stopIfTrue="1">
      <formula>AND(OR(D304&lt;1,D304&gt;5),D304&lt;&gt;0)</formula>
    </cfRule>
  </conditionalFormatting>
  <conditionalFormatting sqref="D307:D316">
    <cfRule type="expression" dxfId="49" priority="39" stopIfTrue="1">
      <formula>AND($J$297&gt;0,$F$304=$N$3)</formula>
    </cfRule>
  </conditionalFormatting>
  <conditionalFormatting sqref="D327">
    <cfRule type="expression" dxfId="48" priority="10" stopIfTrue="1">
      <formula>AND(J320&gt;0,F327=$N$4)</formula>
    </cfRule>
    <cfRule type="expression" dxfId="47" priority="9" stopIfTrue="1">
      <formula>AND(OR(D327&lt;1,D327&gt;5),D327&lt;&gt;0)</formula>
    </cfRule>
  </conditionalFormatting>
  <conditionalFormatting sqref="D330:D336">
    <cfRule type="expression" dxfId="46" priority="42">
      <formula>AND($J$320&gt;0,$F$327=$N$3)</formula>
    </cfRule>
  </conditionalFormatting>
  <conditionalFormatting sqref="D341 D351 D360 D377 D387">
    <cfRule type="expression" dxfId="45" priority="36" stopIfTrue="1">
      <formula>AND(OR(D341&lt;1,D341&gt;5),D341&lt;&gt;0)</formula>
    </cfRule>
    <cfRule type="expression" dxfId="44" priority="37" stopIfTrue="1">
      <formula>J340&gt;0</formula>
    </cfRule>
  </conditionalFormatting>
  <conditionalFormatting sqref="F14">
    <cfRule type="expression" dxfId="43" priority="32">
      <formula>J7&gt;0</formula>
    </cfRule>
  </conditionalFormatting>
  <conditionalFormatting sqref="F36">
    <cfRule type="expression" dxfId="42" priority="29">
      <formula>J28&gt;0</formula>
    </cfRule>
  </conditionalFormatting>
  <conditionalFormatting sqref="F53">
    <cfRule type="expression" dxfId="41" priority="26">
      <formula>J46&gt;0</formula>
    </cfRule>
  </conditionalFormatting>
  <conditionalFormatting sqref="F90">
    <cfRule type="expression" dxfId="40" priority="23">
      <formula>J83&gt;0</formula>
    </cfRule>
  </conditionalFormatting>
  <conditionalFormatting sqref="F109">
    <cfRule type="expression" dxfId="39" priority="20">
      <formula>J102&gt;0</formula>
    </cfRule>
  </conditionalFormatting>
  <conditionalFormatting sqref="F221">
    <cfRule type="expression" dxfId="38" priority="17">
      <formula>J214&gt;0</formula>
    </cfRule>
  </conditionalFormatting>
  <conditionalFormatting sqref="F269">
    <cfRule type="expression" dxfId="37" priority="5">
      <formula>J262&gt;0</formula>
    </cfRule>
  </conditionalFormatting>
  <conditionalFormatting sqref="F304">
    <cfRule type="expression" dxfId="36" priority="14">
      <formula>J297&gt;0</formula>
    </cfRule>
  </conditionalFormatting>
  <conditionalFormatting sqref="F327">
    <cfRule type="expression" dxfId="35" priority="11">
      <formula>J320&gt;0</formula>
    </cfRule>
  </conditionalFormatting>
  <dataValidations count="8">
    <dataValidation type="list" allowBlank="1" showInputMessage="1" showErrorMessage="1" sqref="D17:D23 D224:D229" xr:uid="{00000000-0002-0000-0500-000005000000}">
      <formula1>J17:K17</formula1>
    </dataValidation>
    <dataValidation type="list" allowBlank="1" showInputMessage="1" showErrorMessage="1" sqref="F221 F14 F36 F53 F109 F90 F304 F327 F269" xr:uid="{00000000-0002-0000-0500-000004000000}">
      <formula1>$N$3:$N$4</formula1>
    </dataValidation>
    <dataValidation type="list" allowBlank="1" showInputMessage="1" sqref="D221 D36 D14 D53 D109 D90 D304 D327 D269" xr:uid="{00000000-0002-0000-0500-000003000000}">
      <formula1>A9:A14</formula1>
    </dataValidation>
    <dataValidation allowBlank="1" showInputMessage="1" sqref="D8 D29 D103 D84 D298 D321" xr:uid="{00000000-0002-0000-0500-000002000000}"/>
    <dataValidation type="list" allowBlank="1" showInputMessage="1" showErrorMessage="1" sqref="D39:D42 D330:D336 D93:D98 D112:D122 D307:D316 D56:D60 D272:D275" xr:uid="{00000000-0002-0000-0500-000001000000}">
      <formula1>"○,　"</formula1>
    </dataValidation>
    <dataValidation type="list" allowBlank="1" showInputMessage="1" sqref="D47 D66 D75 D138 D147 D288 D279 D263 D253 D244 D235 D205 D196 D187 D177 D157 D351 D341 D377" xr:uid="{00000000-0002-0000-0500-000000000000}">
      <formula1>A48:A53</formula1>
    </dataValidation>
    <dataValidation type="list" allowBlank="1" showInputMessage="1" sqref="D127 D166 D360 D387" xr:uid="{00000000-0002-0000-0500-000006000000}">
      <formula1>A129:A134</formula1>
    </dataValidation>
    <dataValidation type="list" allowBlank="1" showInputMessage="1" sqref="D215" xr:uid="{00000000-0002-0000-0500-000007000000}">
      <formula1>A216:A230</formula1>
    </dataValidation>
  </dataValidations>
  <pageMargins left="0.7" right="0.7" top="0.75" bottom="0.75" header="0.3" footer="0.3"/>
  <pageSetup paperSize="9" scale="85" fitToHeight="0" orientation="portrait" horizontalDpi="1200" verticalDpi="1200" r:id="rId1"/>
  <rowBreaks count="7" manualBreakCount="7">
    <brk id="44" max="16383" man="1"/>
    <brk id="100" max="16383" man="1"/>
    <brk id="153" max="16383" man="1"/>
    <brk id="211" max="16383" man="1"/>
    <brk id="259" max="16383" man="1"/>
    <brk id="318" max="16383" man="1"/>
    <brk id="3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C84C-AA60-4253-9824-81EA9ED1D825}">
  <sheetPr>
    <pageSetUpPr fitToPage="1"/>
  </sheetPr>
  <dimension ref="A1:P213"/>
  <sheetViews>
    <sheetView showGridLines="0" topLeftCell="B1" zoomScale="120" zoomScaleNormal="120" workbookViewId="0">
      <selection activeCell="D9" sqref="D9"/>
    </sheetView>
  </sheetViews>
  <sheetFormatPr defaultColWidth="0" defaultRowHeight="13.5" zeroHeight="1"/>
  <cols>
    <col min="1" max="1" width="8.875" hidden="1" customWidth="1"/>
    <col min="2" max="2" width="4.5" customWidth="1"/>
    <col min="3" max="3" width="2" customWidth="1"/>
    <col min="4" max="10" width="13.75" customWidth="1"/>
    <col min="11" max="11" width="1.625" customWidth="1"/>
    <col min="12" max="16" width="0" hidden="1" customWidth="1"/>
    <col min="17" max="16384" width="8.875" hidden="1"/>
  </cols>
  <sheetData>
    <row r="1" spans="1:16">
      <c r="A1" s="461"/>
      <c r="D1" s="386"/>
      <c r="E1" s="386"/>
      <c r="G1" s="387" t="s">
        <v>240</v>
      </c>
      <c r="H1" s="497" t="str">
        <f>メイン!C11</f>
        <v>○○ビル</v>
      </c>
      <c r="I1" s="497"/>
      <c r="J1" s="471"/>
      <c r="K1" s="386"/>
      <c r="L1" t="s">
        <v>123</v>
      </c>
    </row>
    <row r="2" spans="1:16" ht="14.25" thickBot="1">
      <c r="A2" s="461"/>
      <c r="D2" s="388"/>
      <c r="E2" s="388"/>
      <c r="F2" s="388"/>
      <c r="G2" s="388"/>
      <c r="H2" s="388"/>
      <c r="I2" s="388"/>
      <c r="J2" s="388"/>
      <c r="K2" s="386"/>
    </row>
    <row r="3" spans="1:16" ht="18.75" thickBot="1">
      <c r="A3" s="461"/>
      <c r="B3" s="412" t="s">
        <v>813</v>
      </c>
      <c r="D3" s="388"/>
      <c r="E3" s="388"/>
      <c r="F3" s="388"/>
      <c r="G3" s="390"/>
      <c r="H3" s="391" t="s">
        <v>230</v>
      </c>
      <c r="K3" s="386"/>
      <c r="L3" t="s">
        <v>131</v>
      </c>
      <c r="N3" s="461" t="s">
        <v>260</v>
      </c>
    </row>
    <row r="4" spans="1:16">
      <c r="A4" s="461"/>
      <c r="D4" s="388"/>
      <c r="E4" s="388"/>
      <c r="F4" s="388"/>
      <c r="G4" s="388"/>
      <c r="H4" s="388"/>
      <c r="I4" s="388"/>
      <c r="J4" s="388"/>
      <c r="K4" s="386"/>
      <c r="M4" t="s">
        <v>155</v>
      </c>
      <c r="N4" t="s">
        <v>156</v>
      </c>
    </row>
    <row r="5" spans="1:16" ht="15">
      <c r="B5" s="726">
        <v>1</v>
      </c>
      <c r="C5" s="725" t="s">
        <v>324</v>
      </c>
      <c r="D5" s="723"/>
      <c r="J5" s="753"/>
    </row>
    <row r="6" spans="1:16" ht="15">
      <c r="B6" s="726">
        <v>1.1000000000000001</v>
      </c>
      <c r="C6" s="725" t="s">
        <v>352</v>
      </c>
      <c r="D6" s="723"/>
      <c r="J6" s="753"/>
      <c r="L6">
        <v>1</v>
      </c>
      <c r="M6" t="s">
        <v>113</v>
      </c>
      <c r="N6" t="s">
        <v>114</v>
      </c>
      <c r="O6" s="461"/>
      <c r="P6" s="461"/>
    </row>
    <row r="7" spans="1:16" ht="15.75" thickBot="1">
      <c r="B7" s="726"/>
      <c r="C7" s="725"/>
      <c r="D7" s="723" t="s">
        <v>814</v>
      </c>
      <c r="J7" s="753" t="str">
        <f>IF(J8=0,$L$3,"")</f>
        <v/>
      </c>
      <c r="L7">
        <v>2</v>
      </c>
      <c r="M7" t="s">
        <v>124</v>
      </c>
      <c r="N7" t="s">
        <v>125</v>
      </c>
      <c r="O7" s="461"/>
      <c r="P7" s="461"/>
    </row>
    <row r="8" spans="1:16" ht="14.25" hidden="1" thickBot="1">
      <c r="D8" s="392"/>
      <c r="E8" s="393"/>
      <c r="F8" s="394"/>
      <c r="G8" s="394"/>
      <c r="H8" s="395" t="s">
        <v>480</v>
      </c>
      <c r="I8" s="395"/>
      <c r="J8" s="396">
        <f>スコア!M71</f>
        <v>1</v>
      </c>
      <c r="L8">
        <v>3</v>
      </c>
      <c r="M8" t="s">
        <v>126</v>
      </c>
      <c r="N8" t="s">
        <v>127</v>
      </c>
      <c r="O8" s="461"/>
      <c r="P8" s="461"/>
    </row>
    <row r="9" spans="1:16" ht="14.25" thickBot="1">
      <c r="D9" s="397">
        <v>3</v>
      </c>
      <c r="E9" s="436" t="s">
        <v>351</v>
      </c>
      <c r="F9" s="404"/>
      <c r="G9" s="404"/>
      <c r="H9" s="404"/>
      <c r="I9" s="404"/>
      <c r="J9" s="405"/>
      <c r="L9">
        <v>4</v>
      </c>
      <c r="M9" t="s">
        <v>116</v>
      </c>
      <c r="N9" t="s">
        <v>117</v>
      </c>
      <c r="O9" s="461"/>
      <c r="P9" s="461"/>
    </row>
    <row r="10" spans="1:16">
      <c r="A10" s="1">
        <v>1</v>
      </c>
      <c r="D10" s="450" t="str">
        <f>IF(D9=$L$11,$M$6,IF(ROUNDDOWN(D9,0)=$L$6,$N$6,$M$6))</f>
        <v>　レベル　1</v>
      </c>
      <c r="E10" s="667" t="s">
        <v>454</v>
      </c>
      <c r="F10" s="473"/>
      <c r="G10" s="473"/>
      <c r="H10" s="473"/>
      <c r="I10" s="473"/>
      <c r="J10" s="408"/>
      <c r="L10">
        <v>5</v>
      </c>
      <c r="M10" t="s">
        <v>119</v>
      </c>
      <c r="N10" t="s">
        <v>120</v>
      </c>
      <c r="O10" s="461"/>
      <c r="P10" s="461"/>
    </row>
    <row r="11" spans="1:16">
      <c r="A11" s="1">
        <v>2</v>
      </c>
      <c r="D11" s="398" t="str">
        <f>IF(D9=$L$11,$M$7,IF(ROUNDDOWN(D9,0)=$L$7,$N$7,$M$7))</f>
        <v>　レベル　2</v>
      </c>
      <c r="E11" s="668" t="s">
        <v>455</v>
      </c>
      <c r="F11" s="472"/>
      <c r="G11" s="472"/>
      <c r="H11" s="472"/>
      <c r="I11" s="472"/>
      <c r="J11" s="475"/>
      <c r="L11">
        <v>0</v>
      </c>
      <c r="M11" t="s">
        <v>115</v>
      </c>
      <c r="N11" t="s">
        <v>115</v>
      </c>
      <c r="O11" s="461"/>
      <c r="P11" s="461"/>
    </row>
    <row r="12" spans="1:16">
      <c r="A12" s="1">
        <v>3</v>
      </c>
      <c r="D12" s="398" t="str">
        <f>IF(D9=$L$11,$M$8,IF(ROUNDDOWN(D9,0)=$L$8,$N$8,$M$8))</f>
        <v>■レベル　3</v>
      </c>
      <c r="E12" s="668" t="s">
        <v>456</v>
      </c>
      <c r="F12" s="472"/>
      <c r="G12" s="472"/>
      <c r="H12" s="472"/>
      <c r="I12" s="472"/>
      <c r="J12" s="475"/>
    </row>
    <row r="13" spans="1:16">
      <c r="A13" s="1">
        <v>4</v>
      </c>
      <c r="D13" s="398" t="str">
        <f>IF(D9=$L$11,$M$9,IF(ROUNDDOWN(D9,0)=$L$9,$N$9,$M$9))</f>
        <v>　レベル　4</v>
      </c>
      <c r="E13" s="668" t="s">
        <v>457</v>
      </c>
      <c r="F13" s="472"/>
      <c r="G13" s="472"/>
      <c r="H13" s="472"/>
      <c r="I13" s="472"/>
      <c r="J13" s="475"/>
    </row>
    <row r="14" spans="1:16">
      <c r="A14" s="1">
        <v>5</v>
      </c>
      <c r="D14" s="399" t="str">
        <f>IF(D9=$L$11,$M$10,IF(ROUNDDOWN(D9,0)=$L$10,$N$10,$M$10))</f>
        <v>　レベル　5</v>
      </c>
      <c r="E14" s="650" t="s">
        <v>458</v>
      </c>
      <c r="F14" s="474"/>
      <c r="G14" s="474"/>
      <c r="H14" s="474"/>
      <c r="I14" s="474"/>
      <c r="J14" s="409"/>
    </row>
    <row r="15" spans="1:16">
      <c r="A15" s="1" t="s">
        <v>201</v>
      </c>
    </row>
    <row r="16" spans="1:16" ht="15.75" thickBot="1">
      <c r="B16" s="726"/>
      <c r="C16" s="725"/>
      <c r="D16" s="723" t="s">
        <v>322</v>
      </c>
      <c r="J16" s="753" t="str">
        <f>IF(J17=0,$L$3,"")</f>
        <v/>
      </c>
    </row>
    <row r="17" spans="1:10" ht="14.25" hidden="1" thickBot="1">
      <c r="D17" s="392"/>
      <c r="E17" s="393"/>
      <c r="F17" s="394"/>
      <c r="G17" s="394"/>
      <c r="H17" s="395" t="s">
        <v>480</v>
      </c>
      <c r="I17" s="395"/>
      <c r="J17" s="396">
        <f>スコア!M72</f>
        <v>1</v>
      </c>
    </row>
    <row r="18" spans="1:10" ht="14.25" thickBot="1">
      <c r="D18" s="397">
        <v>3</v>
      </c>
      <c r="E18" s="436" t="s">
        <v>351</v>
      </c>
      <c r="F18" s="404"/>
      <c r="G18" s="404"/>
      <c r="H18" s="404"/>
      <c r="I18" s="404"/>
      <c r="J18" s="405"/>
    </row>
    <row r="19" spans="1:10">
      <c r="A19" s="1" t="s">
        <v>201</v>
      </c>
      <c r="D19" s="450" t="str">
        <f>IF(D18=$L$11,$M$6,IF(ROUNDDOWN(D18,0)=$L$6,$N$6,$M$6))</f>
        <v>　レベル　1</v>
      </c>
      <c r="E19" s="667" t="s">
        <v>144</v>
      </c>
      <c r="F19" s="473"/>
      <c r="G19" s="473"/>
      <c r="H19" s="473"/>
      <c r="I19" s="473"/>
      <c r="J19" s="408"/>
    </row>
    <row r="20" spans="1:10">
      <c r="A20" s="1">
        <v>2</v>
      </c>
      <c r="D20" s="398" t="str">
        <f>IF(D18=$L$11,$M$7,IF(ROUNDDOWN(D18,0)=$L$7,$N$7,$M$7))</f>
        <v>　レベル　2</v>
      </c>
      <c r="E20" s="668" t="s">
        <v>523</v>
      </c>
      <c r="F20" s="472"/>
      <c r="G20" s="472"/>
      <c r="H20" s="472"/>
      <c r="I20" s="472"/>
      <c r="J20" s="475"/>
    </row>
    <row r="21" spans="1:10">
      <c r="A21" s="1">
        <v>3</v>
      </c>
      <c r="D21" s="398" t="str">
        <f>IF(D18=$L$11,$M$8,IF(ROUNDDOWN(D18,0)=$L$8,$N$8,$M$8))</f>
        <v>■レベル　3</v>
      </c>
      <c r="E21" s="668" t="s">
        <v>524</v>
      </c>
      <c r="F21" s="472"/>
      <c r="G21" s="472"/>
      <c r="H21" s="472"/>
      <c r="I21" s="472"/>
      <c r="J21" s="475"/>
    </row>
    <row r="22" spans="1:10">
      <c r="A22" s="1">
        <v>4</v>
      </c>
      <c r="D22" s="398" t="str">
        <f>IF(D18=$L$11,$M$9,IF(ROUNDDOWN(D18,0)=$L$9,$N$9,$M$9))</f>
        <v>　レベル　4</v>
      </c>
      <c r="E22" s="668" t="s">
        <v>525</v>
      </c>
      <c r="F22" s="472"/>
      <c r="G22" s="472"/>
      <c r="H22" s="472"/>
      <c r="I22" s="472"/>
      <c r="J22" s="475"/>
    </row>
    <row r="23" spans="1:10">
      <c r="A23" s="1">
        <v>5</v>
      </c>
      <c r="D23" s="399" t="str">
        <f>IF(D18=$L$11,$M$10,IF(ROUNDDOWN(D18,0)=$L$10,$N$10,$M$10))</f>
        <v>　レベル　5</v>
      </c>
      <c r="E23" s="650" t="s">
        <v>526</v>
      </c>
      <c r="F23" s="474"/>
      <c r="G23" s="474"/>
      <c r="H23" s="474"/>
      <c r="I23" s="474"/>
      <c r="J23" s="409"/>
    </row>
    <row r="24" spans="1:10">
      <c r="A24" s="1" t="s">
        <v>201</v>
      </c>
    </row>
    <row r="25" spans="1:10" ht="15.75" thickBot="1">
      <c r="B25" s="726"/>
      <c r="C25" s="725"/>
      <c r="D25" s="723" t="s">
        <v>376</v>
      </c>
      <c r="J25" s="753" t="str">
        <f>IF(J26=0,$L$3,"")</f>
        <v/>
      </c>
    </row>
    <row r="26" spans="1:10" ht="14.25" hidden="1" thickBot="1">
      <c r="D26" s="392"/>
      <c r="E26" s="393"/>
      <c r="F26" s="394"/>
      <c r="G26" s="394"/>
      <c r="H26" s="395" t="s">
        <v>480</v>
      </c>
      <c r="I26" s="395"/>
      <c r="J26" s="396">
        <f>スコア!M73</f>
        <v>1</v>
      </c>
    </row>
    <row r="27" spans="1:10" ht="14.25" thickBot="1">
      <c r="D27" s="397">
        <v>3</v>
      </c>
      <c r="E27" s="436" t="s">
        <v>351</v>
      </c>
      <c r="F27" s="404"/>
      <c r="G27" s="404"/>
      <c r="H27" s="404"/>
      <c r="I27" s="404"/>
      <c r="J27" s="405"/>
    </row>
    <row r="28" spans="1:10">
      <c r="A28" s="1">
        <v>1</v>
      </c>
      <c r="D28" s="450" t="str">
        <f>IF(D27=$L$11,$M$6,IF(ROUNDDOWN(D27,0)=$L$6,$N$6,$M$6))</f>
        <v>　レベル　1</v>
      </c>
      <c r="E28" s="667" t="s">
        <v>1005</v>
      </c>
      <c r="F28" s="473"/>
      <c r="G28" s="473"/>
      <c r="H28" s="473"/>
      <c r="I28" s="473"/>
      <c r="J28" s="408"/>
    </row>
    <row r="29" spans="1:10">
      <c r="A29" s="1">
        <v>2</v>
      </c>
      <c r="D29" s="398" t="str">
        <f>IF(D27=$L$11,$M$7,IF(ROUNDDOWN(D27,0)=$L$7,$N$7,$M$7))</f>
        <v>　レベル　2</v>
      </c>
      <c r="E29" s="668" t="s">
        <v>678</v>
      </c>
      <c r="F29" s="472"/>
      <c r="G29" s="472"/>
      <c r="H29" s="472"/>
      <c r="I29" s="472"/>
      <c r="J29" s="475"/>
    </row>
    <row r="30" spans="1:10">
      <c r="A30" s="1">
        <v>3</v>
      </c>
      <c r="D30" s="398" t="str">
        <f>IF(D27=$L$11,$M$8,IF(ROUNDDOWN(D27,0)=$L$8,$N$8,$M$8))</f>
        <v>■レベル　3</v>
      </c>
      <c r="E30" s="668" t="s">
        <v>1006</v>
      </c>
      <c r="F30" s="472"/>
      <c r="G30" s="472"/>
      <c r="H30" s="472"/>
      <c r="I30" s="472"/>
      <c r="J30" s="475"/>
    </row>
    <row r="31" spans="1:10">
      <c r="A31" s="1">
        <v>4</v>
      </c>
      <c r="D31" s="398" t="str">
        <f>IF(D27=$L$11,$M$9,IF(ROUNDDOWN(D27,0)=$L$9,$N$9,$M$9))</f>
        <v>　レベル　4</v>
      </c>
      <c r="E31" s="668" t="s">
        <v>527</v>
      </c>
      <c r="F31" s="472"/>
      <c r="G31" s="472"/>
      <c r="H31" s="472"/>
      <c r="I31" s="472"/>
      <c r="J31" s="475"/>
    </row>
    <row r="32" spans="1:10">
      <c r="A32" s="1">
        <v>5</v>
      </c>
      <c r="D32" s="399" t="str">
        <f>IF(D27=$L$11,$M$10,IF(ROUNDDOWN(D27,0)=$L$10,$N$10,$M$10))</f>
        <v>　レベル　5</v>
      </c>
      <c r="E32" s="650" t="s">
        <v>528</v>
      </c>
      <c r="F32" s="474"/>
      <c r="G32" s="474"/>
      <c r="H32" s="474"/>
      <c r="I32" s="474"/>
      <c r="J32" s="409"/>
    </row>
    <row r="33" spans="1:10" ht="15.75">
      <c r="A33" s="1" t="s">
        <v>201</v>
      </c>
      <c r="D33" s="453" t="s">
        <v>530</v>
      </c>
      <c r="E33" s="76"/>
      <c r="F33" s="76"/>
      <c r="G33" s="76"/>
      <c r="H33" s="406"/>
      <c r="I33" s="562"/>
      <c r="J33" s="403"/>
    </row>
    <row r="34" spans="1:10" ht="14.25" thickBot="1">
      <c r="A34" s="461"/>
      <c r="D34" s="635" t="s">
        <v>920</v>
      </c>
      <c r="E34" s="636" t="s">
        <v>467</v>
      </c>
      <c r="F34" s="670" t="s">
        <v>497</v>
      </c>
      <c r="G34" s="617"/>
      <c r="H34" s="617"/>
      <c r="I34" s="617"/>
      <c r="J34" s="499"/>
    </row>
    <row r="35" spans="1:10">
      <c r="D35" s="507"/>
      <c r="E35" s="508">
        <v>1</v>
      </c>
      <c r="F35" s="958" t="s">
        <v>529</v>
      </c>
      <c r="G35" s="957"/>
      <c r="H35" s="957"/>
      <c r="I35" s="957"/>
      <c r="J35" s="949"/>
    </row>
    <row r="36" spans="1:10" ht="30" customHeight="1" thickBot="1">
      <c r="D36" s="402"/>
      <c r="E36" s="509">
        <v>2</v>
      </c>
      <c r="F36" s="985" t="s">
        <v>679</v>
      </c>
      <c r="G36" s="942"/>
      <c r="H36" s="942"/>
      <c r="I36" s="942"/>
      <c r="J36" s="943"/>
    </row>
    <row r="37" spans="1:10" ht="14.25">
      <c r="D37" s="454" t="s">
        <v>262</v>
      </c>
      <c r="E37" s="498">
        <f>COUNTIF(D35:D36,$M$4)</f>
        <v>0</v>
      </c>
      <c r="F37" s="498"/>
      <c r="G37" s="498"/>
      <c r="H37" s="498"/>
      <c r="I37" s="498"/>
      <c r="J37" s="499"/>
    </row>
    <row r="38" spans="1:10"/>
    <row r="39" spans="1:10" ht="15.75" thickBot="1">
      <c r="B39" s="726">
        <v>1.2</v>
      </c>
      <c r="C39" s="725" t="s">
        <v>461</v>
      </c>
      <c r="D39" s="723"/>
      <c r="J39" s="753" t="str">
        <f>IF(J40=0,$L$3,"")</f>
        <v/>
      </c>
    </row>
    <row r="40" spans="1:10" ht="14.25" hidden="1" thickBot="1">
      <c r="D40" s="392"/>
      <c r="E40" s="393"/>
      <c r="F40" s="394"/>
      <c r="G40" s="394"/>
      <c r="H40" s="395" t="s">
        <v>480</v>
      </c>
      <c r="I40" s="395"/>
      <c r="J40" s="396">
        <f>スコア!M74</f>
        <v>1</v>
      </c>
    </row>
    <row r="41" spans="1:10" ht="14.25" thickBot="1">
      <c r="D41" s="397">
        <v>3</v>
      </c>
      <c r="E41" s="436" t="s">
        <v>351</v>
      </c>
      <c r="F41" s="404"/>
      <c r="G41" s="404"/>
      <c r="H41" s="404"/>
      <c r="I41" s="404"/>
      <c r="J41" s="405"/>
    </row>
    <row r="42" spans="1:10">
      <c r="A42" s="1">
        <v>1</v>
      </c>
      <c r="D42" s="450" t="str">
        <f>IF(D41=$L$11,$M$6,IF(ROUNDDOWN(D41,0)=$L$6,$N$6,$M$6))</f>
        <v>　レベル　1</v>
      </c>
      <c r="E42" s="667" t="s">
        <v>13</v>
      </c>
      <c r="F42" s="473"/>
      <c r="G42" s="473"/>
      <c r="H42" s="473"/>
      <c r="I42" s="473"/>
      <c r="J42" s="408"/>
    </row>
    <row r="43" spans="1:10">
      <c r="A43" s="1" t="s">
        <v>440</v>
      </c>
      <c r="D43" s="398" t="str">
        <f>IF(D41=$L$11,$M$7,IF(ROUNDDOWN(D41,0)=$L$7,$N$7,$M$7))</f>
        <v>　レベル　2</v>
      </c>
      <c r="E43" s="668" t="s">
        <v>144</v>
      </c>
      <c r="F43" s="472"/>
      <c r="G43" s="472"/>
      <c r="H43" s="472"/>
      <c r="I43" s="472"/>
      <c r="J43" s="475"/>
    </row>
    <row r="44" spans="1:10">
      <c r="A44" s="1">
        <v>3</v>
      </c>
      <c r="D44" s="398" t="str">
        <f>IF(D41=$L$11,$M$8,IF(ROUNDDOWN(D41,0)=$L$8,$N$8,$M$8))</f>
        <v>■レベル　3</v>
      </c>
      <c r="E44" s="668" t="s">
        <v>1065</v>
      </c>
      <c r="F44" s="472"/>
      <c r="G44" s="472"/>
      <c r="H44" s="472"/>
      <c r="I44" s="472"/>
      <c r="J44" s="475"/>
    </row>
    <row r="45" spans="1:10">
      <c r="A45" s="1">
        <v>4</v>
      </c>
      <c r="D45" s="398" t="str">
        <f>IF(D41=$L$11,$M$9,IF(ROUNDDOWN(D41,0)=$L$9,$N$9,$M$9))</f>
        <v>　レベル　4</v>
      </c>
      <c r="E45" s="668" t="s">
        <v>1066</v>
      </c>
      <c r="F45" s="472"/>
      <c r="G45" s="472"/>
      <c r="H45" s="472"/>
      <c r="I45" s="472"/>
      <c r="J45" s="475"/>
    </row>
    <row r="46" spans="1:10">
      <c r="A46" s="1">
        <v>5</v>
      </c>
      <c r="D46" s="399" t="str">
        <f>IF(D41=$L$11,$M$10,IF(ROUNDDOWN(D41,0)=$L$10,$N$10,$M$10))</f>
        <v>　レベル　5</v>
      </c>
      <c r="E46" s="650" t="s">
        <v>1076</v>
      </c>
      <c r="F46" s="474"/>
      <c r="G46" s="474"/>
      <c r="H46" s="474"/>
      <c r="I46" s="474"/>
      <c r="J46" s="409"/>
    </row>
    <row r="47" spans="1:10" ht="36" customHeight="1">
      <c r="A47" s="1" t="s">
        <v>201</v>
      </c>
      <c r="D47" s="1002" t="s">
        <v>1067</v>
      </c>
      <c r="E47" s="1002"/>
      <c r="F47" s="1002"/>
      <c r="G47" s="1002"/>
      <c r="H47" s="1002"/>
      <c r="I47" s="1002"/>
      <c r="J47" s="1002"/>
    </row>
    <row r="48" spans="1:10"/>
    <row r="49" spans="1:10" ht="15.75" thickBot="1">
      <c r="B49" s="726">
        <v>1.3</v>
      </c>
      <c r="C49" s="725" t="s">
        <v>817</v>
      </c>
      <c r="D49" s="723"/>
      <c r="J49" s="753" t="str">
        <f>IF(J50=0,$L$3,"")</f>
        <v/>
      </c>
    </row>
    <row r="50" spans="1:10" ht="14.25" hidden="1" thickBot="1">
      <c r="D50" s="392"/>
      <c r="E50" s="393"/>
      <c r="F50" s="394"/>
      <c r="G50" s="394"/>
      <c r="H50" s="395" t="s">
        <v>480</v>
      </c>
      <c r="I50" s="395"/>
      <c r="J50" s="396">
        <f>スコア!M75</f>
        <v>1</v>
      </c>
    </row>
    <row r="51" spans="1:10" ht="14.25" thickBot="1">
      <c r="D51" s="397">
        <v>3</v>
      </c>
      <c r="E51" s="436" t="s">
        <v>351</v>
      </c>
      <c r="F51" s="404"/>
      <c r="G51" s="404"/>
      <c r="H51" s="404"/>
      <c r="I51" s="404"/>
      <c r="J51" s="405"/>
    </row>
    <row r="52" spans="1:10">
      <c r="A52" s="1" t="s">
        <v>201</v>
      </c>
      <c r="D52" s="450" t="str">
        <f>IF(D51=$L$11,$M$6,IF(ROUNDDOWN(D51,0)=$L$6,$N$6,$M$6))</f>
        <v>　レベル　1</v>
      </c>
      <c r="E52" s="667" t="s">
        <v>144</v>
      </c>
      <c r="F52" s="473"/>
      <c r="G52" s="473"/>
      <c r="H52" s="473"/>
      <c r="I52" s="473"/>
      <c r="J52" s="408"/>
    </row>
    <row r="53" spans="1:10">
      <c r="A53" s="1" t="s">
        <v>201</v>
      </c>
      <c r="D53" s="398" t="str">
        <f>IF(D51=$L$11,$M$7,IF(ROUNDDOWN(D51,0)=$L$7,$N$7,$M$7))</f>
        <v>　レベル　2</v>
      </c>
      <c r="E53" s="668" t="s">
        <v>144</v>
      </c>
      <c r="F53" s="472"/>
      <c r="G53" s="472"/>
      <c r="H53" s="472"/>
      <c r="I53" s="472"/>
      <c r="J53" s="475"/>
    </row>
    <row r="54" spans="1:10">
      <c r="A54" s="1">
        <v>3</v>
      </c>
      <c r="D54" s="398" t="str">
        <f>IF(D51=$L$11,$M$8,IF(ROUNDDOWN(D51,0)=$L$8,$N$8,$M$8))</f>
        <v>■レベル　3</v>
      </c>
      <c r="E54" s="668" t="s">
        <v>818</v>
      </c>
      <c r="F54" s="472"/>
      <c r="G54" s="472"/>
      <c r="H54" s="472"/>
      <c r="I54" s="472"/>
      <c r="J54" s="475"/>
    </row>
    <row r="55" spans="1:10">
      <c r="A55" s="1">
        <v>4</v>
      </c>
      <c r="D55" s="398" t="str">
        <f>IF(D51=$L$11,$M$9,IF(ROUNDDOWN(D51,0)=$L$9,$N$9,$M$9))</f>
        <v>　レベル　4</v>
      </c>
      <c r="E55" s="668" t="s">
        <v>819</v>
      </c>
      <c r="F55" s="472"/>
      <c r="G55" s="472"/>
      <c r="H55" s="472"/>
      <c r="I55" s="472"/>
      <c r="J55" s="475"/>
    </row>
    <row r="56" spans="1:10">
      <c r="A56" s="1">
        <v>5</v>
      </c>
      <c r="D56" s="399" t="str">
        <f>IF(D51=$L$11,$M$10,IF(ROUNDDOWN(D51,0)=$L$10,$N$10,$M$10))</f>
        <v>　レベル　5</v>
      </c>
      <c r="E56" s="650" t="s">
        <v>820</v>
      </c>
      <c r="F56" s="474"/>
      <c r="G56" s="474"/>
      <c r="H56" s="474"/>
      <c r="I56" s="474"/>
      <c r="J56" s="409"/>
    </row>
    <row r="57" spans="1:10">
      <c r="A57" s="1" t="s">
        <v>201</v>
      </c>
    </row>
    <row r="58" spans="1:10" ht="15">
      <c r="B58" s="726">
        <v>2</v>
      </c>
      <c r="C58" s="725" t="s">
        <v>509</v>
      </c>
      <c r="D58" s="723"/>
      <c r="J58" s="753"/>
    </row>
    <row r="59" spans="1:10" ht="15.75" thickBot="1">
      <c r="B59" s="726">
        <v>2.1</v>
      </c>
      <c r="C59" s="725" t="s">
        <v>510</v>
      </c>
      <c r="D59" s="723"/>
      <c r="J59" s="753" t="str">
        <f>IF(J60=0,$L$3,"")</f>
        <v/>
      </c>
    </row>
    <row r="60" spans="1:10" ht="14.25" hidden="1" thickBot="1">
      <c r="D60" s="392"/>
      <c r="E60" s="393"/>
      <c r="F60" s="394"/>
      <c r="G60" s="394"/>
      <c r="H60" s="395" t="s">
        <v>480</v>
      </c>
      <c r="I60" s="395"/>
      <c r="J60" s="396">
        <f>スコア!M77</f>
        <v>1</v>
      </c>
    </row>
    <row r="61" spans="1:10" ht="14.25" thickBot="1">
      <c r="D61" s="397">
        <v>3</v>
      </c>
      <c r="E61" s="436" t="s">
        <v>351</v>
      </c>
      <c r="F61" s="404"/>
      <c r="G61" s="404"/>
      <c r="H61" s="404"/>
      <c r="I61" s="404"/>
      <c r="J61" s="643"/>
    </row>
    <row r="62" spans="1:10">
      <c r="A62" s="1" t="s">
        <v>201</v>
      </c>
      <c r="D62" s="450" t="str">
        <f>IF(D61=$L$11,$M$6,IF(ROUNDDOWN(D61,0)=$L$6,$N$6,$M$6))</f>
        <v>　レベル　1</v>
      </c>
      <c r="E62" s="667" t="s">
        <v>144</v>
      </c>
      <c r="F62" s="473"/>
      <c r="G62" s="473"/>
      <c r="H62" s="473"/>
      <c r="I62" s="473"/>
      <c r="J62" s="408"/>
    </row>
    <row r="63" spans="1:10">
      <c r="A63" s="1">
        <v>2</v>
      </c>
      <c r="D63" s="398" t="str">
        <f>IF(D61=$L$11,$M$7,IF(ROUNDDOWN(D61,0)=$L$7,$N$7,$M$7))</f>
        <v>　レベル　2</v>
      </c>
      <c r="E63" s="668" t="s">
        <v>680</v>
      </c>
      <c r="F63" s="472"/>
      <c r="G63" s="472"/>
      <c r="H63" s="472"/>
      <c r="I63" s="472"/>
      <c r="J63" s="475"/>
    </row>
    <row r="64" spans="1:10">
      <c r="A64" s="1">
        <v>3</v>
      </c>
      <c r="D64" s="398" t="str">
        <f>IF(D61=$L$11,$M$8,IF(ROUNDDOWN(D61,0)=$L$8,$N$8,$M$8))</f>
        <v>■レベル　3</v>
      </c>
      <c r="E64" s="668" t="s">
        <v>459</v>
      </c>
      <c r="F64" s="472"/>
      <c r="G64" s="472"/>
      <c r="H64" s="472"/>
      <c r="I64" s="472"/>
      <c r="J64" s="475"/>
    </row>
    <row r="65" spans="1:10" ht="26.45" customHeight="1">
      <c r="A65" s="1">
        <v>4</v>
      </c>
      <c r="D65" s="398" t="str">
        <f>IF(D61=$L$11,$M$9,IF(ROUNDDOWN(D61,0)=$L$9,$N$9,$M$9))</f>
        <v>　レベル　4</v>
      </c>
      <c r="E65" s="950" t="s">
        <v>681</v>
      </c>
      <c r="F65" s="952"/>
      <c r="G65" s="952"/>
      <c r="H65" s="952"/>
      <c r="I65" s="952"/>
      <c r="J65" s="951"/>
    </row>
    <row r="66" spans="1:10">
      <c r="A66" s="1">
        <v>5</v>
      </c>
      <c r="D66" s="399" t="str">
        <f>IF(D61=$L$11,$M$10,IF(ROUNDDOWN(D61,0)=$L$10,$N$10,$M$10))</f>
        <v>　レベル　5</v>
      </c>
      <c r="E66" s="650" t="s">
        <v>930</v>
      </c>
      <c r="F66" s="474"/>
      <c r="G66" s="474"/>
      <c r="H66" s="474"/>
      <c r="I66" s="474"/>
      <c r="J66" s="409"/>
    </row>
    <row r="67" spans="1:10">
      <c r="A67" s="1" t="s">
        <v>201</v>
      </c>
    </row>
    <row r="68" spans="1:10" ht="15.75" thickBot="1">
      <c r="B68" s="726">
        <v>2.2000000000000002</v>
      </c>
      <c r="C68" s="725" t="s">
        <v>931</v>
      </c>
      <c r="D68" s="723"/>
      <c r="J68" s="753" t="str">
        <f>IF(J69=0,$L$3,"")</f>
        <v/>
      </c>
    </row>
    <row r="69" spans="1:10" ht="14.25" hidden="1" thickBot="1">
      <c r="D69" s="392"/>
      <c r="E69" s="393"/>
      <c r="F69" s="394"/>
      <c r="G69" s="394"/>
      <c r="H69" s="395" t="s">
        <v>480</v>
      </c>
      <c r="I69" s="395"/>
      <c r="J69" s="396">
        <f>スコア!M78</f>
        <v>1</v>
      </c>
    </row>
    <row r="70" spans="1:10" ht="14.25" thickBot="1">
      <c r="D70" s="397">
        <v>3</v>
      </c>
      <c r="E70" s="436" t="s">
        <v>351</v>
      </c>
      <c r="F70" s="404"/>
      <c r="G70" s="404"/>
      <c r="H70" s="404"/>
      <c r="I70" s="404"/>
      <c r="J70" s="405"/>
    </row>
    <row r="71" spans="1:10">
      <c r="A71" s="1">
        <v>1</v>
      </c>
      <c r="D71" s="450" t="str">
        <f>IF(D70=$L$11,$M$6,IF(ROUNDDOWN(D70,0)=$L$6,$N$6,$M$6))</f>
        <v>　レベル　1</v>
      </c>
      <c r="E71" s="667" t="s">
        <v>684</v>
      </c>
      <c r="F71" s="473"/>
      <c r="G71" s="473"/>
      <c r="H71" s="473"/>
      <c r="I71" s="473"/>
      <c r="J71" s="408"/>
    </row>
    <row r="72" spans="1:10">
      <c r="A72" s="1" t="s">
        <v>440</v>
      </c>
      <c r="D72" s="398" t="str">
        <f>IF(D70=$L$11,$M$7,IF(ROUNDDOWN(D70,0)=$L$7,$N$7,$M$7))</f>
        <v>　レベル　2</v>
      </c>
      <c r="E72" s="668" t="s">
        <v>144</v>
      </c>
      <c r="F72" s="472"/>
      <c r="G72" s="472"/>
      <c r="H72" s="472"/>
      <c r="I72" s="472"/>
      <c r="J72" s="475"/>
    </row>
    <row r="73" spans="1:10">
      <c r="A73" s="1">
        <v>3</v>
      </c>
      <c r="D73" s="398" t="str">
        <f>IF(D70=$L$11,$M$8,IF(ROUNDDOWN(D70,0)=$L$8,$N$8,$M$8))</f>
        <v>■レベル　3</v>
      </c>
      <c r="E73" s="668" t="s">
        <v>685</v>
      </c>
      <c r="F73" s="472"/>
      <c r="G73" s="472"/>
      <c r="H73" s="472"/>
      <c r="I73" s="472"/>
      <c r="J73" s="475"/>
    </row>
    <row r="74" spans="1:10">
      <c r="A74" s="1">
        <v>4</v>
      </c>
      <c r="D74" s="398" t="str">
        <f>IF(D70=$L$11,$M$9,IF(ROUNDDOWN(D70,0)=$L$9,$N$9,$M$9))</f>
        <v>　レベル　4</v>
      </c>
      <c r="E74" s="668" t="s">
        <v>686</v>
      </c>
      <c r="F74" s="472"/>
      <c r="G74" s="472"/>
      <c r="H74" s="472"/>
      <c r="I74" s="472"/>
      <c r="J74" s="475"/>
    </row>
    <row r="75" spans="1:10">
      <c r="A75" s="1">
        <v>5</v>
      </c>
      <c r="D75" s="399" t="str">
        <f>IF(D70=$L$11,$M$10,IF(ROUNDDOWN(D70,0)=$L$10,$N$10,$M$10))</f>
        <v>　レベル　5</v>
      </c>
      <c r="E75" s="650" t="s">
        <v>687</v>
      </c>
      <c r="F75" s="474"/>
      <c r="G75" s="474"/>
      <c r="H75" s="474"/>
      <c r="I75" s="474"/>
      <c r="J75" s="409"/>
    </row>
    <row r="76" spans="1:10">
      <c r="A76" s="1" t="s">
        <v>201</v>
      </c>
    </row>
    <row r="77" spans="1:10" ht="15">
      <c r="B77" s="726">
        <v>2.2999999999999998</v>
      </c>
      <c r="C77" s="725" t="s">
        <v>932</v>
      </c>
      <c r="D77" s="723"/>
      <c r="J77" s="753" t="str">
        <f>IF(J78=0,$L$3,"")</f>
        <v/>
      </c>
    </row>
    <row r="78" spans="1:10" hidden="1">
      <c r="D78" s="392"/>
      <c r="E78" s="393"/>
      <c r="F78" s="394"/>
      <c r="G78" s="394"/>
      <c r="H78" s="395" t="s">
        <v>480</v>
      </c>
      <c r="I78" s="395"/>
      <c r="J78" s="396">
        <f>スコア!M79</f>
        <v>1</v>
      </c>
    </row>
    <row r="79" spans="1:10">
      <c r="D79" s="641">
        <f>D87</f>
        <v>3</v>
      </c>
      <c r="E79" s="404" t="s">
        <v>351</v>
      </c>
      <c r="F79" s="404"/>
      <c r="G79" s="404"/>
      <c r="H79" s="404"/>
      <c r="I79" s="404"/>
      <c r="J79" s="405"/>
    </row>
    <row r="80" spans="1:10">
      <c r="A80" s="1">
        <v>1</v>
      </c>
      <c r="D80" s="398" t="str">
        <f>IF(D79=$L$11,$M$6,IF(ROUNDDOWN(D79,0)=$L$6,$N$6,$M$6))</f>
        <v>　レベル　1</v>
      </c>
      <c r="E80" s="667" t="s">
        <v>533</v>
      </c>
      <c r="F80" s="473"/>
      <c r="G80" s="473"/>
      <c r="H80" s="473"/>
      <c r="I80" s="473"/>
      <c r="J80" s="408"/>
    </row>
    <row r="81" spans="1:10">
      <c r="A81" s="1" t="s">
        <v>440</v>
      </c>
      <c r="D81" s="398" t="str">
        <f>IF(D79=$L$11,$M$7,IF(ROUNDDOWN(D79,0)=$L$7,$N$7,$M$7))</f>
        <v>　レベル　2</v>
      </c>
      <c r="E81" s="668" t="s">
        <v>534</v>
      </c>
      <c r="F81" s="472"/>
      <c r="G81" s="472"/>
      <c r="H81" s="472"/>
      <c r="I81" s="472"/>
      <c r="J81" s="475"/>
    </row>
    <row r="82" spans="1:10">
      <c r="A82" s="1">
        <v>3</v>
      </c>
      <c r="D82" s="398" t="str">
        <f>IF(D79=$L$11,$M$8,IF(ROUNDDOWN(D79,0)=$L$8,$N$8,$M$8))</f>
        <v>■レベル　3</v>
      </c>
      <c r="E82" s="668" t="s">
        <v>933</v>
      </c>
      <c r="F82" s="472"/>
      <c r="G82" s="472"/>
      <c r="H82" s="472"/>
      <c r="I82" s="472"/>
      <c r="J82" s="475"/>
    </row>
    <row r="83" spans="1:10">
      <c r="A83" s="1">
        <v>4</v>
      </c>
      <c r="D83" s="398" t="str">
        <f>IF(D79=$L$11,$M$9,IF(ROUNDDOWN(D79,0)=$L$9,$N$9,$M$9))</f>
        <v>　レベル　4</v>
      </c>
      <c r="E83" s="668" t="s">
        <v>934</v>
      </c>
      <c r="F83" s="472"/>
      <c r="G83" s="472"/>
      <c r="H83" s="472"/>
      <c r="I83" s="472"/>
      <c r="J83" s="475"/>
    </row>
    <row r="84" spans="1:10">
      <c r="A84" s="1">
        <v>5</v>
      </c>
      <c r="D84" s="399" t="str">
        <f>IF(D79=$L$11,$M$10,IF(ROUNDDOWN(D79,0)=$L$10,$N$10,$M$10))</f>
        <v>　レベル　5</v>
      </c>
      <c r="E84" s="650" t="s">
        <v>935</v>
      </c>
      <c r="F84" s="474"/>
      <c r="G84" s="474"/>
      <c r="H84" s="474"/>
      <c r="I84" s="474"/>
      <c r="J84" s="409"/>
    </row>
    <row r="85" spans="1:10" ht="14.25" hidden="1" thickBot="1">
      <c r="A85" s="1" t="s">
        <v>201</v>
      </c>
      <c r="D85" s="397">
        <v>0</v>
      </c>
      <c r="E85" s="730" t="s">
        <v>237</v>
      </c>
      <c r="F85" s="451" t="s">
        <v>259</v>
      </c>
    </row>
    <row r="86" spans="1:10">
      <c r="D86" s="731" t="s">
        <v>816</v>
      </c>
    </row>
    <row r="87" spans="1:10" ht="14.25" thickBot="1">
      <c r="D87" s="611">
        <f>IF(F85=$N$3,IF(E93=0,1,IF(E93=1,2,IF(E93=2,3,IF(E93=3,4,IF(E93&gt;=4,5))))),D85)</f>
        <v>3</v>
      </c>
      <c r="E87" s="407" t="s">
        <v>499</v>
      </c>
      <c r="F87" s="616" t="s">
        <v>497</v>
      </c>
      <c r="G87" s="407"/>
      <c r="H87" s="407"/>
      <c r="I87" s="407"/>
      <c r="J87" s="410"/>
    </row>
    <row r="88" spans="1:10">
      <c r="D88" s="507"/>
      <c r="E88" s="508">
        <v>1</v>
      </c>
      <c r="F88" s="473" t="s">
        <v>688</v>
      </c>
      <c r="G88" s="473"/>
      <c r="H88" s="473"/>
      <c r="I88" s="473"/>
      <c r="J88" s="408"/>
    </row>
    <row r="89" spans="1:10">
      <c r="D89" s="402"/>
      <c r="E89" s="509">
        <v>2</v>
      </c>
      <c r="F89" s="472" t="s">
        <v>538</v>
      </c>
      <c r="G89" s="472"/>
      <c r="H89" s="472"/>
      <c r="I89" s="472"/>
      <c r="J89" s="475"/>
    </row>
    <row r="90" spans="1:10" ht="30" customHeight="1">
      <c r="D90" s="402" t="s">
        <v>238</v>
      </c>
      <c r="E90" s="509">
        <v>3</v>
      </c>
      <c r="F90" s="956" t="s">
        <v>318</v>
      </c>
      <c r="G90" s="952"/>
      <c r="H90" s="952"/>
      <c r="I90" s="952"/>
      <c r="J90" s="951"/>
    </row>
    <row r="91" spans="1:10">
      <c r="D91" s="402" t="s">
        <v>238</v>
      </c>
      <c r="E91" s="509">
        <v>4</v>
      </c>
      <c r="F91" s="472" t="s">
        <v>539</v>
      </c>
      <c r="G91" s="472"/>
      <c r="H91" s="472"/>
      <c r="I91" s="472"/>
      <c r="J91" s="475"/>
    </row>
    <row r="92" spans="1:10" ht="14.25" thickBot="1">
      <c r="D92" s="612"/>
      <c r="E92" s="510">
        <v>5</v>
      </c>
      <c r="F92" s="472" t="s">
        <v>140</v>
      </c>
      <c r="G92" s="472"/>
      <c r="H92" s="472"/>
      <c r="I92" s="472"/>
      <c r="J92" s="475"/>
    </row>
    <row r="93" spans="1:10" ht="14.25">
      <c r="D93" s="454" t="s">
        <v>262</v>
      </c>
      <c r="E93" s="498">
        <f>COUNTIF(D88:D92,$M$4)</f>
        <v>2</v>
      </c>
      <c r="F93" s="498"/>
      <c r="G93" s="498"/>
      <c r="H93" s="498"/>
      <c r="I93" s="498"/>
      <c r="J93" s="499"/>
    </row>
    <row r="94" spans="1:10">
      <c r="D94" s="461"/>
      <c r="E94" s="461"/>
      <c r="F94" s="461"/>
    </row>
    <row r="95" spans="1:10" ht="15">
      <c r="B95" s="726">
        <v>3</v>
      </c>
      <c r="C95" s="725" t="s">
        <v>326</v>
      </c>
      <c r="D95" s="723"/>
      <c r="J95" s="753"/>
    </row>
    <row r="96" spans="1:10" ht="15">
      <c r="B96" s="726">
        <v>3.1</v>
      </c>
      <c r="C96" s="725" t="s">
        <v>937</v>
      </c>
      <c r="D96" s="723"/>
      <c r="J96" s="753"/>
    </row>
    <row r="97" spans="1:10" ht="15.75" thickBot="1">
      <c r="B97" s="726"/>
      <c r="C97" s="725"/>
      <c r="D97" s="723" t="s">
        <v>936</v>
      </c>
      <c r="J97" s="753" t="str">
        <f>IF(J98=0,$L$3,"")</f>
        <v/>
      </c>
    </row>
    <row r="98" spans="1:10" ht="14.25" hidden="1" thickBot="1">
      <c r="D98" s="392"/>
      <c r="E98" s="393"/>
      <c r="F98" s="393"/>
      <c r="G98" s="394"/>
      <c r="H98" s="395" t="s">
        <v>480</v>
      </c>
      <c r="I98" s="395"/>
      <c r="J98" s="396">
        <f>スコア!M81</f>
        <v>1</v>
      </c>
    </row>
    <row r="99" spans="1:10">
      <c r="D99" s="939">
        <v>3</v>
      </c>
      <c r="E99" s="404" t="s">
        <v>351</v>
      </c>
      <c r="F99" s="404"/>
      <c r="G99" s="404"/>
      <c r="H99" s="404"/>
      <c r="I99" s="404"/>
      <c r="J99" s="405"/>
    </row>
    <row r="100" spans="1:10" ht="14.25" thickBot="1">
      <c r="D100" s="940"/>
      <c r="E100" s="947" t="s">
        <v>462</v>
      </c>
      <c r="F100" s="946"/>
      <c r="G100" s="946"/>
      <c r="H100" s="986" t="s">
        <v>463</v>
      </c>
      <c r="I100" s="947"/>
      <c r="J100" s="986"/>
    </row>
    <row r="101" spans="1:10">
      <c r="A101" s="1" t="s">
        <v>201</v>
      </c>
      <c r="D101" s="398" t="str">
        <f>IF(D99=$L$11,$M$6,IF(ROUNDDOWN(D99,0)=$L$6,$N$6,$M$6))</f>
        <v>　レベル　1</v>
      </c>
      <c r="E101" s="948" t="s">
        <v>144</v>
      </c>
      <c r="F101" s="957"/>
      <c r="G101" s="949"/>
      <c r="H101" s="948" t="s">
        <v>144</v>
      </c>
      <c r="I101" s="957"/>
      <c r="J101" s="949"/>
    </row>
    <row r="102" spans="1:10">
      <c r="A102" s="1" t="s">
        <v>440</v>
      </c>
      <c r="D102" s="398" t="str">
        <f>IF(D99=$L$11,$M$7,IF(ROUNDDOWN(D99,0)=$L$7,$N$7,$M$7))</f>
        <v>　レベル　2</v>
      </c>
      <c r="E102" s="950" t="s">
        <v>661</v>
      </c>
      <c r="F102" s="952"/>
      <c r="G102" s="951"/>
      <c r="H102" s="950" t="s">
        <v>661</v>
      </c>
      <c r="I102" s="952"/>
      <c r="J102" s="951"/>
    </row>
    <row r="103" spans="1:10">
      <c r="A103" s="1">
        <v>3</v>
      </c>
      <c r="D103" s="398" t="str">
        <f>IF(D99=$L$11,$M$8,IF(ROUNDDOWN(D99,0)=$L$8,$N$8,$M$8))</f>
        <v>■レベル　3</v>
      </c>
      <c r="E103" s="652" t="s">
        <v>732</v>
      </c>
      <c r="F103" s="653"/>
      <c r="G103" s="653"/>
      <c r="H103" s="564"/>
      <c r="I103" s="564"/>
      <c r="J103" s="565"/>
    </row>
    <row r="104" spans="1:10">
      <c r="A104" s="1">
        <v>4</v>
      </c>
      <c r="D104" s="398" t="str">
        <f>IF(D99=$L$11,$M$9,IF(ROUNDDOWN(D99,0)=$L$9,$N$9,$M$9))</f>
        <v>　レベル　4</v>
      </c>
      <c r="E104" s="652" t="s">
        <v>733</v>
      </c>
      <c r="F104" s="653"/>
      <c r="G104" s="653"/>
      <c r="H104" s="653"/>
      <c r="I104" s="653"/>
      <c r="J104" s="700"/>
    </row>
    <row r="105" spans="1:10" ht="40.9" customHeight="1">
      <c r="A105" s="1">
        <v>5</v>
      </c>
      <c r="D105" s="399" t="str">
        <f>IF(D99=$L$11,$M$10,IF(ROUNDDOWN(D99,0)=$L$10,$N$10,$M$10))</f>
        <v>　レベル　5</v>
      </c>
      <c r="E105" s="941" t="s">
        <v>662</v>
      </c>
      <c r="F105" s="942"/>
      <c r="G105" s="943"/>
      <c r="H105" s="941" t="s">
        <v>663</v>
      </c>
      <c r="I105" s="942"/>
      <c r="J105" s="943"/>
    </row>
    <row r="106" spans="1:10">
      <c r="A106" s="1" t="s">
        <v>201</v>
      </c>
    </row>
    <row r="107" spans="1:10" ht="15">
      <c r="B107" s="726"/>
      <c r="C107" s="725"/>
      <c r="D107" s="723" t="s">
        <v>938</v>
      </c>
      <c r="J107" s="753" t="str">
        <f>IF(J108=0,$L$3,"")</f>
        <v/>
      </c>
    </row>
    <row r="108" spans="1:10" hidden="1">
      <c r="D108" s="392"/>
      <c r="E108" s="393"/>
      <c r="F108" s="393"/>
      <c r="G108" s="394"/>
      <c r="H108" s="395" t="s">
        <v>480</v>
      </c>
      <c r="I108" s="395"/>
      <c r="J108" s="396">
        <f>スコア!M82</f>
        <v>1</v>
      </c>
    </row>
    <row r="109" spans="1:10">
      <c r="D109" s="977">
        <f>D118</f>
        <v>3</v>
      </c>
      <c r="E109" s="404" t="s">
        <v>351</v>
      </c>
      <c r="F109" s="404"/>
      <c r="G109" s="404"/>
      <c r="H109" s="404"/>
      <c r="I109" s="404"/>
      <c r="J109" s="405"/>
    </row>
    <row r="110" spans="1:10">
      <c r="D110" s="978"/>
      <c r="E110" s="615" t="s">
        <v>591</v>
      </c>
      <c r="F110" s="681"/>
      <c r="G110" s="682" t="s">
        <v>596</v>
      </c>
      <c r="H110" s="404"/>
      <c r="I110" s="615"/>
      <c r="J110" s="500" t="s">
        <v>388</v>
      </c>
    </row>
    <row r="111" spans="1:10">
      <c r="A111" s="1">
        <v>1</v>
      </c>
      <c r="D111" s="398" t="str">
        <f>IF(D109=$L$11,$M$6,IF(ROUNDDOWN(D109,0)=$L$6,$N$6,$M$6))</f>
        <v>　レベル　1</v>
      </c>
      <c r="E111" s="667" t="s">
        <v>475</v>
      </c>
      <c r="F111" s="473"/>
      <c r="G111" s="667" t="s">
        <v>475</v>
      </c>
      <c r="H111" s="473"/>
      <c r="I111" s="473"/>
      <c r="J111" s="953" t="s">
        <v>954</v>
      </c>
    </row>
    <row r="112" spans="1:10">
      <c r="A112" s="1">
        <v>2</v>
      </c>
      <c r="D112" s="398" t="str">
        <f>IF(D109=$L$11,$M$7,IF(ROUNDDOWN(D109,0)=$L$7,$N$7,$M$7))</f>
        <v>　レベル　2</v>
      </c>
      <c r="E112" s="668" t="s">
        <v>592</v>
      </c>
      <c r="F112" s="472"/>
      <c r="G112" s="668" t="s">
        <v>597</v>
      </c>
      <c r="H112" s="472"/>
      <c r="I112" s="472"/>
      <c r="J112" s="954"/>
    </row>
    <row r="113" spans="1:10">
      <c r="A113" s="1">
        <v>3</v>
      </c>
      <c r="D113" s="398" t="str">
        <f>IF(D109=$L$11,$M$8,IF(ROUNDDOWN(D109,0)=$L$8,$N$8,$M$8))</f>
        <v>■レベル　3</v>
      </c>
      <c r="E113" s="668" t="s">
        <v>593</v>
      </c>
      <c r="F113" s="472"/>
      <c r="G113" s="668" t="s">
        <v>598</v>
      </c>
      <c r="H113" s="472"/>
      <c r="I113" s="472"/>
      <c r="J113" s="954"/>
    </row>
    <row r="114" spans="1:10">
      <c r="A114" s="1">
        <v>4</v>
      </c>
      <c r="D114" s="398" t="str">
        <f>IF(D109=$L$11,$M$9,IF(ROUNDDOWN(D109,0)=$L$9,$N$9,$M$9))</f>
        <v>　レベル　4</v>
      </c>
      <c r="E114" s="668" t="s">
        <v>594</v>
      </c>
      <c r="F114" s="472"/>
      <c r="G114" s="668" t="s">
        <v>599</v>
      </c>
      <c r="H114" s="472"/>
      <c r="I114" s="472"/>
      <c r="J114" s="954"/>
    </row>
    <row r="115" spans="1:10" ht="14.25" thickBot="1">
      <c r="A115" s="1">
        <v>5</v>
      </c>
      <c r="D115" s="399" t="str">
        <f>IF(D109=$L$11,$M$10,IF(ROUNDDOWN(D109,0)=$L$10,$N$10,$M$10))</f>
        <v>　レベル　5</v>
      </c>
      <c r="E115" s="650" t="s">
        <v>595</v>
      </c>
      <c r="F115" s="474"/>
      <c r="G115" s="650" t="s">
        <v>600</v>
      </c>
      <c r="H115" s="474"/>
      <c r="I115" s="474"/>
      <c r="J115" s="955"/>
    </row>
    <row r="116" spans="1:10" ht="14.25" thickBot="1">
      <c r="A116" s="400">
        <v>0</v>
      </c>
      <c r="D116" s="397">
        <v>0</v>
      </c>
      <c r="E116" s="730" t="s">
        <v>237</v>
      </c>
      <c r="F116" s="451" t="s">
        <v>259</v>
      </c>
    </row>
    <row r="117" spans="1:10">
      <c r="A117" s="628"/>
      <c r="D117" s="731" t="s">
        <v>816</v>
      </c>
    </row>
    <row r="118" spans="1:10" ht="14.25" thickBot="1">
      <c r="D118" s="642">
        <f>IF(F116=N3,IF(メイン!F33=メイン!L45,IF(E128&lt;2,1,IF(E128=2,2,IF(E128=3,2,IF(E128=4,3,IF(E128=5,4,IF(採点Qw3!E159&gt;=6,5)))))),IF(E128&lt;1,1,IF(E128=1,2,IF(E128=2,3,IF(E128=3,4,IF(E128&gt;=4,5)))))),D116)</f>
        <v>3</v>
      </c>
      <c r="E118" s="617" t="s">
        <v>467</v>
      </c>
      <c r="F118" s="616" t="s">
        <v>505</v>
      </c>
      <c r="G118" s="407"/>
      <c r="H118" s="407"/>
      <c r="I118" s="407"/>
      <c r="J118" s="683" t="s">
        <v>406</v>
      </c>
    </row>
    <row r="119" spans="1:10" ht="22.9" customHeight="1">
      <c r="D119" s="686">
        <v>2</v>
      </c>
      <c r="E119" s="508">
        <v>1</v>
      </c>
      <c r="F119" s="958" t="s">
        <v>476</v>
      </c>
      <c r="G119" s="957"/>
      <c r="H119" s="957"/>
      <c r="I119" s="949"/>
      <c r="J119" s="684">
        <v>2</v>
      </c>
    </row>
    <row r="120" spans="1:10">
      <c r="D120" s="513"/>
      <c r="E120" s="509">
        <v>2</v>
      </c>
      <c r="F120" s="708" t="s">
        <v>734</v>
      </c>
      <c r="G120" s="706"/>
      <c r="H120" s="706"/>
      <c r="I120" s="706"/>
      <c r="J120" s="685">
        <v>1</v>
      </c>
    </row>
    <row r="121" spans="1:10">
      <c r="D121" s="513"/>
      <c r="E121" s="509">
        <v>3</v>
      </c>
      <c r="F121" s="472" t="s">
        <v>735</v>
      </c>
      <c r="G121" s="472"/>
      <c r="H121" s="472"/>
      <c r="I121" s="472"/>
      <c r="J121" s="502">
        <v>1</v>
      </c>
    </row>
    <row r="122" spans="1:10">
      <c r="D122" s="513"/>
      <c r="E122" s="509">
        <v>4</v>
      </c>
      <c r="F122" s="472" t="s">
        <v>325</v>
      </c>
      <c r="G122" s="472"/>
      <c r="H122" s="472"/>
      <c r="I122" s="472"/>
      <c r="J122" s="502">
        <v>1</v>
      </c>
    </row>
    <row r="123" spans="1:10">
      <c r="D123" s="513"/>
      <c r="E123" s="509">
        <v>5</v>
      </c>
      <c r="F123" s="472" t="s">
        <v>477</v>
      </c>
      <c r="G123" s="472"/>
      <c r="H123" s="472"/>
      <c r="I123" s="472"/>
      <c r="J123" s="502">
        <v>1</v>
      </c>
    </row>
    <row r="124" spans="1:10">
      <c r="D124" s="513"/>
      <c r="E124" s="509">
        <v>6</v>
      </c>
      <c r="F124" s="472" t="s">
        <v>478</v>
      </c>
      <c r="G124" s="472"/>
      <c r="H124" s="472"/>
      <c r="I124" s="472"/>
      <c r="J124" s="502">
        <v>1</v>
      </c>
    </row>
    <row r="125" spans="1:10">
      <c r="D125" s="513"/>
      <c r="E125" s="509">
        <v>7</v>
      </c>
      <c r="F125" s="472" t="s">
        <v>601</v>
      </c>
      <c r="G125" s="472"/>
      <c r="H125" s="472"/>
      <c r="I125" s="472"/>
      <c r="J125" s="502">
        <v>1</v>
      </c>
    </row>
    <row r="126" spans="1:10">
      <c r="D126" s="513"/>
      <c r="E126" s="509">
        <v>8</v>
      </c>
      <c r="F126" s="472" t="s">
        <v>602</v>
      </c>
      <c r="G126" s="472"/>
      <c r="H126" s="472"/>
      <c r="I126" s="472"/>
      <c r="J126" s="502">
        <v>1</v>
      </c>
    </row>
    <row r="127" spans="1:10" ht="14.25" thickBot="1">
      <c r="D127" s="514"/>
      <c r="E127" s="510">
        <v>9</v>
      </c>
      <c r="F127" s="472" t="s">
        <v>603</v>
      </c>
      <c r="G127" s="472"/>
      <c r="H127" s="472"/>
      <c r="I127" s="472"/>
      <c r="J127" s="503">
        <v>1</v>
      </c>
    </row>
    <row r="128" spans="1:10" ht="14.25">
      <c r="D128" s="454" t="s">
        <v>262</v>
      </c>
      <c r="E128" s="687">
        <f>SUM(D119:D127)</f>
        <v>2</v>
      </c>
      <c r="F128" s="498"/>
      <c r="G128" s="498"/>
      <c r="H128" s="498"/>
      <c r="I128" s="498"/>
      <c r="J128" s="499"/>
    </row>
    <row r="129" spans="1:10"/>
    <row r="130" spans="1:10" ht="15">
      <c r="B130" s="726">
        <v>3.2</v>
      </c>
      <c r="C130" s="725" t="s">
        <v>939</v>
      </c>
      <c r="D130" s="723"/>
    </row>
    <row r="131" spans="1:10" ht="15.75" thickBot="1">
      <c r="B131" s="726"/>
      <c r="C131" s="725"/>
      <c r="D131" s="723" t="s">
        <v>940</v>
      </c>
      <c r="J131" s="753" t="str">
        <f>IF(J132=0,$L$3,"")</f>
        <v/>
      </c>
    </row>
    <row r="132" spans="1:10" ht="14.25" hidden="1" thickBot="1">
      <c r="D132" s="392"/>
      <c r="E132" s="393"/>
      <c r="F132" s="393"/>
      <c r="G132" s="394"/>
      <c r="H132" s="395" t="s">
        <v>480</v>
      </c>
      <c r="I132" s="395"/>
      <c r="J132" s="396">
        <f>スコア!M83</f>
        <v>1</v>
      </c>
    </row>
    <row r="133" spans="1:10">
      <c r="D133" s="939">
        <v>3</v>
      </c>
      <c r="E133" s="404" t="s">
        <v>351</v>
      </c>
      <c r="F133" s="404"/>
      <c r="G133" s="404"/>
      <c r="H133" s="404"/>
      <c r="I133" s="404"/>
      <c r="J133" s="405"/>
    </row>
    <row r="134" spans="1:10" ht="14.25" thickBot="1">
      <c r="D134" s="940"/>
      <c r="E134" s="947" t="s">
        <v>462</v>
      </c>
      <c r="F134" s="946"/>
      <c r="G134" s="946"/>
      <c r="H134" s="986" t="s">
        <v>463</v>
      </c>
      <c r="I134" s="947"/>
      <c r="J134" s="986"/>
    </row>
    <row r="135" spans="1:10">
      <c r="A135" s="1" t="s">
        <v>201</v>
      </c>
      <c r="D135" s="398" t="str">
        <f>IF(D133=$L$11,$M$6,IF(ROUNDDOWN(D133,0)=$L$6,$N$6,$M$6))</f>
        <v>　レベル　1</v>
      </c>
      <c r="E135" s="948" t="s">
        <v>144</v>
      </c>
      <c r="F135" s="957"/>
      <c r="G135" s="949"/>
      <c r="H135" s="948" t="s">
        <v>144</v>
      </c>
      <c r="I135" s="957"/>
      <c r="J135" s="949"/>
    </row>
    <row r="136" spans="1:10" ht="27" customHeight="1">
      <c r="A136" s="1">
        <v>2</v>
      </c>
      <c r="D136" s="398" t="str">
        <f>IF(D133=$L$11,$M$7,IF(ROUNDDOWN(D133,0)=$L$7,$N$7,$M$7))</f>
        <v>　レベル　2</v>
      </c>
      <c r="E136" s="950" t="s">
        <v>144</v>
      </c>
      <c r="F136" s="952"/>
      <c r="G136" s="951"/>
      <c r="H136" s="950" t="s">
        <v>589</v>
      </c>
      <c r="I136" s="952"/>
      <c r="J136" s="951"/>
    </row>
    <row r="137" spans="1:10" ht="52.9" customHeight="1">
      <c r="A137" s="1">
        <v>3</v>
      </c>
      <c r="D137" s="398" t="str">
        <f>IF(D133=$L$11,$M$8,IF(ROUNDDOWN(D133,0)=$L$8,$N$8,$M$8))</f>
        <v>■レベル　3</v>
      </c>
      <c r="E137" s="950" t="s">
        <v>736</v>
      </c>
      <c r="F137" s="952"/>
      <c r="G137" s="951"/>
      <c r="H137" s="950" t="s">
        <v>738</v>
      </c>
      <c r="I137" s="952"/>
      <c r="J137" s="951"/>
    </row>
    <row r="138" spans="1:10" ht="27" customHeight="1">
      <c r="A138" s="1">
        <v>4</v>
      </c>
      <c r="D138" s="398" t="str">
        <f>IF(D133=$L$11,$M$9,IF(ROUNDDOWN(D133,0)=$L$9,$N$9,$M$9))</f>
        <v>　レベル　4</v>
      </c>
      <c r="E138" s="950" t="s">
        <v>737</v>
      </c>
      <c r="F138" s="952"/>
      <c r="G138" s="951"/>
      <c r="H138" s="950" t="s">
        <v>590</v>
      </c>
      <c r="I138" s="952"/>
      <c r="J138" s="951"/>
    </row>
    <row r="139" spans="1:10">
      <c r="A139" s="1">
        <v>5</v>
      </c>
      <c r="D139" s="399" t="str">
        <f>IF(D133=$L$11,$M$10,IF(ROUNDDOWN(D133,0)=$L$10,$N$10,$M$10))</f>
        <v>　レベル　5</v>
      </c>
      <c r="E139" s="941" t="s">
        <v>479</v>
      </c>
      <c r="F139" s="942"/>
      <c r="G139" s="942"/>
      <c r="H139" s="942"/>
      <c r="I139" s="942"/>
      <c r="J139" s="943"/>
    </row>
    <row r="140" spans="1:10">
      <c r="A140" s="1" t="s">
        <v>201</v>
      </c>
    </row>
    <row r="141" spans="1:10" ht="15.75" thickBot="1">
      <c r="B141" s="726"/>
      <c r="C141" s="725"/>
      <c r="D141" s="723" t="s">
        <v>941</v>
      </c>
      <c r="J141" s="753" t="str">
        <f>IF(J142=0,$L$3,"")</f>
        <v/>
      </c>
    </row>
    <row r="142" spans="1:10" ht="14.25" hidden="1" thickBot="1">
      <c r="D142" s="392"/>
      <c r="E142" s="393"/>
      <c r="F142" s="394"/>
      <c r="G142" s="394"/>
      <c r="H142" s="395" t="s">
        <v>480</v>
      </c>
      <c r="I142" s="395"/>
      <c r="J142" s="396">
        <f>スコア!M84</f>
        <v>1</v>
      </c>
    </row>
    <row r="143" spans="1:10">
      <c r="D143" s="939">
        <v>3</v>
      </c>
      <c r="E143" s="404" t="s">
        <v>351</v>
      </c>
      <c r="F143" s="404"/>
      <c r="G143" s="404"/>
      <c r="H143" s="404"/>
      <c r="I143" s="404"/>
      <c r="J143" s="405"/>
    </row>
    <row r="144" spans="1:10" ht="14.25" thickBot="1">
      <c r="D144" s="940"/>
      <c r="E144" s="947" t="s">
        <v>462</v>
      </c>
      <c r="F144" s="946"/>
      <c r="G144" s="613"/>
      <c r="H144" s="986" t="s">
        <v>463</v>
      </c>
      <c r="I144" s="947"/>
      <c r="J144" s="986"/>
    </row>
    <row r="145" spans="1:10" ht="27" customHeight="1">
      <c r="A145" s="1">
        <v>1</v>
      </c>
      <c r="D145" s="398" t="str">
        <f>IF(D143=$L$11,$M$6,IF(ROUNDDOWN(D143,0)=$L$6,$N$6,$M$6))</f>
        <v>　レベル　1</v>
      </c>
      <c r="E145" s="948" t="s">
        <v>576</v>
      </c>
      <c r="F145" s="957"/>
      <c r="G145" s="949"/>
      <c r="H145" s="948" t="s">
        <v>580</v>
      </c>
      <c r="I145" s="957"/>
      <c r="J145" s="949"/>
    </row>
    <row r="146" spans="1:10">
      <c r="A146" s="1" t="s">
        <v>440</v>
      </c>
      <c r="D146" s="398" t="str">
        <f>IF(D143=$L$11,$M$7,IF(ROUNDDOWN(D143,0)=$L$7,$N$7,$M$7))</f>
        <v>　レベル　2</v>
      </c>
      <c r="E146" s="950" t="s">
        <v>144</v>
      </c>
      <c r="F146" s="952"/>
      <c r="G146" s="951"/>
      <c r="H146" s="950" t="s">
        <v>144</v>
      </c>
      <c r="I146" s="952"/>
      <c r="J146" s="951"/>
    </row>
    <row r="147" spans="1:10" ht="25.9" customHeight="1">
      <c r="A147" s="1">
        <v>3</v>
      </c>
      <c r="D147" s="398" t="str">
        <f>IF(D143=$L$11,$M$8,IF(ROUNDDOWN(D143,0)=$L$8,$N$8,$M$8))</f>
        <v>■レベル　3</v>
      </c>
      <c r="E147" s="950" t="s">
        <v>577</v>
      </c>
      <c r="F147" s="952"/>
      <c r="G147" s="951"/>
      <c r="H147" s="950" t="s">
        <v>581</v>
      </c>
      <c r="I147" s="952"/>
      <c r="J147" s="951"/>
    </row>
    <row r="148" spans="1:10" ht="25.9" customHeight="1">
      <c r="A148" s="1">
        <v>4</v>
      </c>
      <c r="D148" s="398" t="str">
        <f>IF(D143=$L$11,$M$9,IF(ROUNDDOWN(D143,0)=$L$9,$N$9,$M$9))</f>
        <v>　レベル　4</v>
      </c>
      <c r="E148" s="950" t="s">
        <v>578</v>
      </c>
      <c r="F148" s="952"/>
      <c r="G148" s="951"/>
      <c r="H148" s="950" t="s">
        <v>582</v>
      </c>
      <c r="I148" s="952"/>
      <c r="J148" s="951"/>
    </row>
    <row r="149" spans="1:10" ht="25.9" customHeight="1">
      <c r="A149" s="1">
        <v>5</v>
      </c>
      <c r="D149" s="399" t="str">
        <f>IF(D143=$L$11,$M$10,IF(ROUNDDOWN(D143,0)=$L$10,$N$10,$M$10))</f>
        <v>　レベル　5</v>
      </c>
      <c r="E149" s="941" t="s">
        <v>579</v>
      </c>
      <c r="F149" s="942"/>
      <c r="G149" s="943"/>
      <c r="H149" s="941" t="s">
        <v>583</v>
      </c>
      <c r="I149" s="942"/>
      <c r="J149" s="943"/>
    </row>
    <row r="150" spans="1:10">
      <c r="A150" s="1" t="s">
        <v>201</v>
      </c>
    </row>
    <row r="151" spans="1:10" ht="15">
      <c r="B151" s="726">
        <v>4</v>
      </c>
      <c r="C151" s="725" t="s">
        <v>380</v>
      </c>
      <c r="D151" s="723"/>
      <c r="J151" s="753"/>
    </row>
    <row r="152" spans="1:10" ht="15.75" thickBot="1">
      <c r="B152" s="726">
        <v>4.0999999999999996</v>
      </c>
      <c r="C152" s="725" t="s">
        <v>403</v>
      </c>
      <c r="D152" s="723"/>
      <c r="J152" s="753" t="str">
        <f>IF(J153=0,$L$3,"")</f>
        <v/>
      </c>
    </row>
    <row r="153" spans="1:10" ht="14.25" hidden="1" thickBot="1">
      <c r="D153" s="392"/>
      <c r="E153" s="393"/>
      <c r="F153" s="393"/>
      <c r="G153" s="394"/>
      <c r="H153" s="395" t="s">
        <v>480</v>
      </c>
      <c r="I153" s="395"/>
      <c r="J153" s="396">
        <f>スコア!M86</f>
        <v>1</v>
      </c>
    </row>
    <row r="154" spans="1:10" ht="14.25" thickBot="1">
      <c r="D154" s="397">
        <v>3</v>
      </c>
      <c r="E154" s="436" t="s">
        <v>351</v>
      </c>
      <c r="F154" s="404"/>
      <c r="G154" s="404"/>
      <c r="H154" s="404"/>
      <c r="I154" s="404"/>
      <c r="J154" s="554"/>
    </row>
    <row r="155" spans="1:10">
      <c r="A155" s="1">
        <v>1</v>
      </c>
      <c r="D155" s="450" t="str">
        <f>IF(D154=$L$11,$M$6,IF(ROUNDDOWN(D154,0)=$L$6,$N$6,$M$6))</f>
        <v>　レベル　1</v>
      </c>
      <c r="E155" s="667" t="s">
        <v>164</v>
      </c>
      <c r="F155" s="473"/>
      <c r="G155" s="473"/>
      <c r="H155" s="473"/>
      <c r="I155" s="473"/>
      <c r="J155" s="555"/>
    </row>
    <row r="156" spans="1:10" ht="26.45" customHeight="1">
      <c r="A156" s="1">
        <v>2</v>
      </c>
      <c r="D156" s="398" t="str">
        <f>IF(D154=$L$11,$M$7,IF(ROUNDDOWN(D154,0)=$L$7,$N$7,$M$7))</f>
        <v>　レベル　2</v>
      </c>
      <c r="E156" s="950" t="s">
        <v>739</v>
      </c>
      <c r="F156" s="952"/>
      <c r="G156" s="952"/>
      <c r="H156" s="952"/>
      <c r="I156" s="952"/>
      <c r="J156" s="951"/>
    </row>
    <row r="157" spans="1:10" ht="26.45" customHeight="1">
      <c r="A157" s="1">
        <v>3</v>
      </c>
      <c r="D157" s="398" t="str">
        <f>IF(D154=$L$11,$M$8,IF(ROUNDDOWN(D154,0)=$L$8,$N$8,$M$8))</f>
        <v>■レベル　3</v>
      </c>
      <c r="E157" s="950" t="s">
        <v>740</v>
      </c>
      <c r="F157" s="952"/>
      <c r="G157" s="952"/>
      <c r="H157" s="952"/>
      <c r="I157" s="952"/>
      <c r="J157" s="951"/>
    </row>
    <row r="158" spans="1:10" ht="26.45" customHeight="1">
      <c r="A158" s="1">
        <v>4</v>
      </c>
      <c r="D158" s="398" t="str">
        <f>IF(D154=$L$11,$M$9,IF(ROUNDDOWN(D154,0)=$L$9,$N$9,$M$9))</f>
        <v>　レベル　4</v>
      </c>
      <c r="E158" s="950" t="s">
        <v>741</v>
      </c>
      <c r="F158" s="952"/>
      <c r="G158" s="952"/>
      <c r="H158" s="952"/>
      <c r="I158" s="952"/>
      <c r="J158" s="951"/>
    </row>
    <row r="159" spans="1:10">
      <c r="A159" s="1">
        <v>5</v>
      </c>
      <c r="D159" s="399" t="str">
        <f>IF(D154=$L$11,$M$10,IF(ROUNDDOWN(D154,0)=$L$10,$N$10,$M$10))</f>
        <v>　レベル　5</v>
      </c>
      <c r="E159" s="941" t="s">
        <v>742</v>
      </c>
      <c r="F159" s="942"/>
      <c r="G159" s="942"/>
      <c r="H159" s="942"/>
      <c r="I159" s="942"/>
      <c r="J159" s="943"/>
    </row>
    <row r="160" spans="1:10">
      <c r="A160" s="1" t="s">
        <v>201</v>
      </c>
    </row>
    <row r="161" spans="1:10" ht="15">
      <c r="A161" s="669"/>
      <c r="B161" s="726">
        <v>5</v>
      </c>
      <c r="C161" s="725" t="s">
        <v>1069</v>
      </c>
    </row>
    <row r="162" spans="1:10" ht="15.75" thickBot="1">
      <c r="B162" s="726">
        <v>5.0999999999999996</v>
      </c>
      <c r="C162" s="725" t="s">
        <v>386</v>
      </c>
      <c r="D162" s="723"/>
      <c r="J162" s="753" t="str">
        <f>IF(J163=0,$L$3,"")</f>
        <v/>
      </c>
    </row>
    <row r="163" spans="1:10" ht="14.25" hidden="1" thickBot="1">
      <c r="D163" s="392"/>
      <c r="E163" s="393"/>
      <c r="F163" s="394"/>
      <c r="G163" s="394"/>
      <c r="H163" s="395" t="s">
        <v>480</v>
      </c>
      <c r="I163" s="395"/>
      <c r="J163" s="396">
        <f>スコア!M88</f>
        <v>1</v>
      </c>
    </row>
    <row r="164" spans="1:10">
      <c r="D164" s="939">
        <v>3</v>
      </c>
      <c r="E164" s="404" t="s">
        <v>351</v>
      </c>
      <c r="F164" s="404"/>
      <c r="G164" s="404"/>
      <c r="H164" s="404"/>
      <c r="I164" s="404"/>
      <c r="J164" s="1020" t="s">
        <v>388</v>
      </c>
    </row>
    <row r="165" spans="1:10" ht="14.25" thickBot="1">
      <c r="D165" s="940"/>
      <c r="E165" s="1019" t="s">
        <v>512</v>
      </c>
      <c r="F165" s="1019"/>
      <c r="G165" s="1019"/>
      <c r="H165" s="436" t="s">
        <v>513</v>
      </c>
      <c r="I165" s="644"/>
      <c r="J165" s="1021"/>
    </row>
    <row r="166" spans="1:10" ht="26.45" customHeight="1">
      <c r="A166" s="1">
        <f>IF(メイン!C46="パターン１","-",1)</f>
        <v>1</v>
      </c>
      <c r="D166" s="398" t="str">
        <f>IF(D164=$L$11,$M$6,IF(ROUNDDOWN(D164,0)=$L$6,$N$6,$M$6))</f>
        <v>　レベル　1</v>
      </c>
      <c r="E166" s="691" t="s">
        <v>144</v>
      </c>
      <c r="F166" s="692"/>
      <c r="G166" s="688"/>
      <c r="H166" s="948" t="s">
        <v>788</v>
      </c>
      <c r="I166" s="949"/>
      <c r="J166" s="953" t="s">
        <v>966</v>
      </c>
    </row>
    <row r="167" spans="1:10">
      <c r="A167" s="1">
        <v>2</v>
      </c>
      <c r="D167" s="398" t="str">
        <f>IF(D164=$L$11,$M$7,IF(ROUNDDOWN(D164,0)=$L$7,$N$7,$M$7))</f>
        <v>　レベル　2</v>
      </c>
      <c r="E167" s="693" t="s">
        <v>144</v>
      </c>
      <c r="F167" s="694"/>
      <c r="G167" s="690"/>
      <c r="H167" s="668" t="s">
        <v>642</v>
      </c>
      <c r="I167" s="472"/>
      <c r="J167" s="954"/>
    </row>
    <row r="168" spans="1:10" ht="29.45" customHeight="1">
      <c r="A168" s="1">
        <v>3</v>
      </c>
      <c r="D168" s="398" t="str">
        <f>IF(D164=$L$11,$M$8,IF(ROUNDDOWN(D164,0)=$L$8,$N$8,$M$8))</f>
        <v>■レベル　3</v>
      </c>
      <c r="E168" s="693" t="s">
        <v>942</v>
      </c>
      <c r="F168" s="694"/>
      <c r="G168" s="690"/>
      <c r="H168" s="950" t="s">
        <v>350</v>
      </c>
      <c r="I168" s="951"/>
      <c r="J168" s="954"/>
    </row>
    <row r="169" spans="1:10" ht="27.6" customHeight="1">
      <c r="A169" s="1">
        <v>4</v>
      </c>
      <c r="D169" s="398" t="str">
        <f>IF(D164=$L$11,$M$9,IF(ROUNDDOWN(D164,0)=$L$9,$N$9,$M$9))</f>
        <v>　レベル　4</v>
      </c>
      <c r="E169" s="994" t="s">
        <v>641</v>
      </c>
      <c r="F169" s="995"/>
      <c r="G169" s="996"/>
      <c r="H169" s="668" t="s">
        <v>144</v>
      </c>
      <c r="I169" s="472"/>
      <c r="J169" s="954"/>
    </row>
    <row r="170" spans="1:10" ht="45.6" customHeight="1">
      <c r="A170" s="1">
        <v>5</v>
      </c>
      <c r="D170" s="399" t="str">
        <f>IF(D164=$L$11,$M$10,IF(ROUNDDOWN(D164,0)=$L$10,$N$10,$M$10))</f>
        <v>　レベル　5</v>
      </c>
      <c r="E170" s="1022" t="s">
        <v>787</v>
      </c>
      <c r="F170" s="1023"/>
      <c r="G170" s="1024"/>
      <c r="H170" s="941" t="s">
        <v>643</v>
      </c>
      <c r="I170" s="943"/>
      <c r="J170" s="955"/>
    </row>
    <row r="171" spans="1:10">
      <c r="A171" s="1" t="s">
        <v>201</v>
      </c>
    </row>
    <row r="172" spans="1:10" ht="15.75" thickBot="1">
      <c r="B172" s="726">
        <v>5.2</v>
      </c>
      <c r="C172" s="725" t="s">
        <v>800</v>
      </c>
      <c r="D172" s="723"/>
      <c r="J172" s="753" t="str">
        <f>IF(J173=0,$L$3,"")</f>
        <v/>
      </c>
    </row>
    <row r="173" spans="1:10" ht="14.25" hidden="1" thickBot="1">
      <c r="D173" s="392"/>
      <c r="E173" s="393"/>
      <c r="F173" s="394"/>
      <c r="G173" s="394"/>
      <c r="H173" s="395" t="s">
        <v>480</v>
      </c>
      <c r="I173" s="395"/>
      <c r="J173" s="396">
        <f>スコア!M89</f>
        <v>1</v>
      </c>
    </row>
    <row r="174" spans="1:10">
      <c r="D174" s="939">
        <v>3</v>
      </c>
      <c r="E174" s="404" t="s">
        <v>351</v>
      </c>
      <c r="F174" s="404"/>
      <c r="G174" s="404"/>
      <c r="H174" s="404"/>
      <c r="I174" s="404"/>
      <c r="J174" s="1020" t="s">
        <v>388</v>
      </c>
    </row>
    <row r="175" spans="1:10" ht="14.25" thickBot="1">
      <c r="D175" s="940"/>
      <c r="E175" s="1019" t="s">
        <v>512</v>
      </c>
      <c r="F175" s="1019"/>
      <c r="G175" s="1019"/>
      <c r="H175" s="436" t="s">
        <v>513</v>
      </c>
      <c r="I175" s="644"/>
      <c r="J175" s="1021"/>
    </row>
    <row r="176" spans="1:10" ht="33" customHeight="1">
      <c r="A176" s="1">
        <f>IF(メイン!C46="パターン１","-",1)</f>
        <v>1</v>
      </c>
      <c r="D176" s="398" t="str">
        <f>IF(D174=$L$11,$M$6,IF(ROUNDDOWN(D174,0)=$L$6,$N$6,$M$6))</f>
        <v>　レベル　1</v>
      </c>
      <c r="E176" s="1014" t="s">
        <v>789</v>
      </c>
      <c r="F176" s="1015"/>
      <c r="G176" s="1016"/>
      <c r="H176" s="1017" t="s">
        <v>644</v>
      </c>
      <c r="I176" s="1018"/>
      <c r="J176" s="953" t="s">
        <v>966</v>
      </c>
    </row>
    <row r="177" spans="1:10" ht="33" customHeight="1">
      <c r="A177" s="1" t="s">
        <v>440</v>
      </c>
      <c r="D177" s="398" t="str">
        <f>IF(D174=$L$11,$M$7,IF(ROUNDDOWN(D174,0)=$L$7,$N$7,$M$7))</f>
        <v>　レベル　2</v>
      </c>
      <c r="E177" s="693" t="s">
        <v>144</v>
      </c>
      <c r="F177" s="689"/>
      <c r="G177" s="690"/>
      <c r="H177" s="668" t="s">
        <v>144</v>
      </c>
      <c r="I177" s="472"/>
      <c r="J177" s="954"/>
    </row>
    <row r="178" spans="1:10" ht="40.9" customHeight="1">
      <c r="A178" s="1">
        <v>3</v>
      </c>
      <c r="D178" s="398" t="str">
        <f>IF(D174=$L$11,$M$8,IF(ROUNDDOWN(D174,0)=$L$8,$N$8,$M$8))</f>
        <v>■レベル　3</v>
      </c>
      <c r="E178" s="950" t="s">
        <v>790</v>
      </c>
      <c r="F178" s="952"/>
      <c r="G178" s="951"/>
      <c r="H178" s="950" t="s">
        <v>793</v>
      </c>
      <c r="I178" s="951"/>
      <c r="J178" s="954"/>
    </row>
    <row r="179" spans="1:10" ht="52.9" customHeight="1">
      <c r="A179" s="1">
        <v>4</v>
      </c>
      <c r="D179" s="398" t="str">
        <f>IF(D174=$L$11,$M$9,IF(ROUNDDOWN(D174,0)=$L$9,$N$9,$M$9))</f>
        <v>　レベル　4</v>
      </c>
      <c r="E179" s="950" t="s">
        <v>791</v>
      </c>
      <c r="F179" s="952"/>
      <c r="G179" s="951"/>
      <c r="H179" s="950" t="s">
        <v>806</v>
      </c>
      <c r="I179" s="951"/>
      <c r="J179" s="954"/>
    </row>
    <row r="180" spans="1:10" ht="52.15" customHeight="1">
      <c r="A180" s="1">
        <v>5</v>
      </c>
      <c r="D180" s="399" t="str">
        <f>IF(D174=$L$11,$M$10,IF(ROUNDDOWN(D174,0)=$L$10,$N$10,$M$10))</f>
        <v>　レベル　5</v>
      </c>
      <c r="E180" s="941" t="s">
        <v>792</v>
      </c>
      <c r="F180" s="942"/>
      <c r="G180" s="943"/>
      <c r="H180" s="941" t="s">
        <v>807</v>
      </c>
      <c r="I180" s="943"/>
      <c r="J180" s="955"/>
    </row>
    <row r="181" spans="1:10">
      <c r="A181" s="1" t="s">
        <v>201</v>
      </c>
      <c r="D181" s="731" t="s">
        <v>943</v>
      </c>
    </row>
    <row r="182" spans="1:10" ht="14.25" thickBot="1">
      <c r="A182" s="669"/>
      <c r="D182" s="757" t="s">
        <v>467</v>
      </c>
      <c r="E182" s="756" t="s">
        <v>952</v>
      </c>
      <c r="F182" s="756"/>
      <c r="G182" s="755"/>
      <c r="H182" s="756" t="s">
        <v>804</v>
      </c>
      <c r="I182" s="859"/>
      <c r="J182" s="755"/>
    </row>
    <row r="183" spans="1:10" ht="38.450000000000003" customHeight="1">
      <c r="A183" s="669"/>
      <c r="D183" s="758">
        <v>1</v>
      </c>
      <c r="E183" s="401"/>
      <c r="F183" s="948" t="s">
        <v>645</v>
      </c>
      <c r="G183" s="949"/>
      <c r="H183" s="401"/>
      <c r="I183" s="981" t="s">
        <v>647</v>
      </c>
      <c r="J183" s="949"/>
    </row>
    <row r="184" spans="1:10" ht="38.450000000000003" customHeight="1">
      <c r="A184" s="669"/>
      <c r="D184" s="759">
        <v>2</v>
      </c>
      <c r="E184" s="402"/>
      <c r="F184" s="950" t="s">
        <v>796</v>
      </c>
      <c r="G184" s="951"/>
      <c r="H184" s="402"/>
      <c r="I184" s="983" t="s">
        <v>648</v>
      </c>
      <c r="J184" s="951"/>
    </row>
    <row r="185" spans="1:10" ht="38.450000000000003" customHeight="1">
      <c r="A185" s="669"/>
      <c r="D185" s="759">
        <v>3</v>
      </c>
      <c r="E185" s="402"/>
      <c r="F185" s="950" t="s">
        <v>797</v>
      </c>
      <c r="G185" s="951"/>
      <c r="H185" s="402"/>
      <c r="I185" s="983" t="s">
        <v>649</v>
      </c>
      <c r="J185" s="951"/>
    </row>
    <row r="186" spans="1:10" ht="38.450000000000003" customHeight="1">
      <c r="A186" s="669"/>
      <c r="D186" s="759">
        <v>4</v>
      </c>
      <c r="E186" s="402"/>
      <c r="F186" s="950" t="s">
        <v>798</v>
      </c>
      <c r="G186" s="951"/>
      <c r="H186" s="402"/>
      <c r="I186" s="983" t="s">
        <v>650</v>
      </c>
      <c r="J186" s="951"/>
    </row>
    <row r="187" spans="1:10" ht="49.9" customHeight="1" thickBot="1">
      <c r="A187" s="669"/>
      <c r="D187" s="759">
        <v>5</v>
      </c>
      <c r="E187" s="402"/>
      <c r="F187" s="950" t="s">
        <v>799</v>
      </c>
      <c r="G187" s="951"/>
      <c r="H187" s="612"/>
      <c r="I187" s="652" t="s">
        <v>646</v>
      </c>
      <c r="J187" s="565"/>
    </row>
    <row r="188" spans="1:10" ht="15" thickBot="1">
      <c r="A188" s="669"/>
      <c r="D188" s="760">
        <v>6</v>
      </c>
      <c r="E188" s="612"/>
      <c r="F188" s="941" t="s">
        <v>646</v>
      </c>
      <c r="G188" s="943"/>
      <c r="H188" s="860"/>
      <c r="I188" s="640" t="s">
        <v>953</v>
      </c>
      <c r="J188" s="639"/>
    </row>
    <row r="189" spans="1:10" ht="14.25">
      <c r="A189" s="669"/>
      <c r="D189" s="716" t="s">
        <v>262</v>
      </c>
      <c r="E189" s="498">
        <f>COUNTIF(E183:E188,$M$4)</f>
        <v>0</v>
      </c>
      <c r="F189" s="498"/>
      <c r="G189" s="498"/>
      <c r="H189" s="498">
        <f>COUNTIF(H183:H188,$M$4)</f>
        <v>0</v>
      </c>
      <c r="I189" s="498"/>
      <c r="J189" s="499"/>
    </row>
    <row r="190" spans="1:10">
      <c r="A190" s="669"/>
    </row>
    <row r="191" spans="1:10" ht="15">
      <c r="B191" s="726">
        <v>5.3</v>
      </c>
      <c r="C191" s="725" t="s">
        <v>805</v>
      </c>
      <c r="D191" s="723"/>
      <c r="J191" s="753" t="str">
        <f>IF(J192=0,$L$3,"")</f>
        <v/>
      </c>
    </row>
    <row r="192" spans="1:10" hidden="1">
      <c r="D192" s="392"/>
      <c r="E192" s="393"/>
      <c r="F192" s="394"/>
      <c r="G192" s="394"/>
      <c r="H192" s="395" t="s">
        <v>480</v>
      </c>
      <c r="I192" s="395"/>
      <c r="J192" s="396">
        <f>スコア!M90</f>
        <v>1</v>
      </c>
    </row>
    <row r="193" spans="1:10">
      <c r="D193" s="977">
        <f>D202</f>
        <v>3</v>
      </c>
      <c r="E193" s="404" t="s">
        <v>351</v>
      </c>
      <c r="F193" s="404"/>
      <c r="G193" s="404"/>
      <c r="H193" s="404"/>
      <c r="I193" s="404"/>
      <c r="J193" s="500" t="s">
        <v>388</v>
      </c>
    </row>
    <row r="194" spans="1:10">
      <c r="D194" s="978"/>
      <c r="E194" s="404" t="s">
        <v>355</v>
      </c>
      <c r="F194" s="404"/>
      <c r="G194" s="436" t="s">
        <v>513</v>
      </c>
      <c r="H194" s="436"/>
      <c r="I194" s="644"/>
      <c r="J194" s="722"/>
    </row>
    <row r="195" spans="1:10" ht="24.6" customHeight="1">
      <c r="A195" s="1">
        <f>IF(メイン!C46="パターン１","-",1)</f>
        <v>1</v>
      </c>
      <c r="D195" s="398" t="str">
        <f>IF(D193=$L$11,$M$6,IF(ROUNDDOWN(D193,0)=$L$6,$N$6,$M$6))</f>
        <v>　レベル　1</v>
      </c>
      <c r="E195" s="1011" t="s">
        <v>944</v>
      </c>
      <c r="F195" s="1012"/>
      <c r="G195" s="566" t="s">
        <v>949</v>
      </c>
      <c r="H195" s="566"/>
      <c r="I195" s="705"/>
      <c r="J195" s="953" t="s">
        <v>966</v>
      </c>
    </row>
    <row r="196" spans="1:10" ht="24.6" customHeight="1">
      <c r="A196" s="1">
        <v>2</v>
      </c>
      <c r="D196" s="398" t="str">
        <f>IF(D193=$L$11,$M$7,IF(ROUNDDOWN(D193,0)=$L$7,$N$7,$M$7))</f>
        <v>　レベル　2</v>
      </c>
      <c r="E196" s="1013" t="s">
        <v>945</v>
      </c>
      <c r="F196" s="988"/>
      <c r="G196" s="668" t="s">
        <v>651</v>
      </c>
      <c r="H196" s="668"/>
      <c r="I196" s="472"/>
      <c r="J196" s="954"/>
    </row>
    <row r="197" spans="1:10" ht="24.6" customHeight="1">
      <c r="A197" s="1">
        <v>3</v>
      </c>
      <c r="D197" s="398" t="str">
        <f>IF(D193=$L$11,$M$8,IF(ROUNDDOWN(D193,0)=$L$8,$N$8,$M$8))</f>
        <v>■レベル　3</v>
      </c>
      <c r="E197" s="950" t="s">
        <v>946</v>
      </c>
      <c r="F197" s="988"/>
      <c r="G197" s="652" t="s">
        <v>652</v>
      </c>
      <c r="H197" s="652"/>
      <c r="I197" s="565"/>
      <c r="J197" s="954"/>
    </row>
    <row r="198" spans="1:10" ht="24.6" customHeight="1">
      <c r="A198" s="1">
        <v>4</v>
      </c>
      <c r="D198" s="398" t="str">
        <f>IF(D193=$L$11,$M$9,IF(ROUNDDOWN(D193,0)=$L$9,$N$9,$M$9))</f>
        <v>　レベル　4</v>
      </c>
      <c r="E198" s="950" t="s">
        <v>947</v>
      </c>
      <c r="F198" s="988"/>
      <c r="G198" s="652" t="s">
        <v>653</v>
      </c>
      <c r="H198" s="652"/>
      <c r="I198" s="565"/>
      <c r="J198" s="954"/>
    </row>
    <row r="199" spans="1:10" ht="24.6" customHeight="1">
      <c r="A199" s="1">
        <v>5</v>
      </c>
      <c r="D199" s="399" t="str">
        <f>IF(D193=$L$11,$M$10,IF(ROUNDDOWN(D193,0)=$L$10,$N$10,$M$10))</f>
        <v>　レベル　5</v>
      </c>
      <c r="E199" s="941" t="s">
        <v>948</v>
      </c>
      <c r="F199" s="990"/>
      <c r="G199" s="640" t="s">
        <v>654</v>
      </c>
      <c r="H199" s="640"/>
      <c r="I199" s="639"/>
      <c r="J199" s="955"/>
    </row>
    <row r="200" spans="1:10" ht="14.25" hidden="1" thickBot="1">
      <c r="A200" s="1" t="s">
        <v>201</v>
      </c>
      <c r="D200" s="397">
        <v>0</v>
      </c>
      <c r="E200" s="730" t="s">
        <v>237</v>
      </c>
      <c r="F200" s="451" t="s">
        <v>259</v>
      </c>
      <c r="G200" s="754"/>
    </row>
    <row r="201" spans="1:10">
      <c r="D201" s="731" t="s">
        <v>816</v>
      </c>
    </row>
    <row r="202" spans="1:10" ht="14.25" thickBot="1">
      <c r="D202" s="642">
        <f>IF(F200=N3,IF(メイン!C46="パターン１",IF(E212=0,1,IF(E212=1,2,IF(E212=2,3,IF(E212=3,4,IF(E212&gt;=4,5))))),IF(E212&lt;=1,1,IF(E212=2,2,IF(E212=3,3,IF(E212=4,4,IF(E212&gt;=5,5)))))),D200)</f>
        <v>3</v>
      </c>
      <c r="E202" s="407" t="s">
        <v>951</v>
      </c>
      <c r="F202" s="407" t="s">
        <v>950</v>
      </c>
      <c r="G202" s="407"/>
      <c r="H202" s="407"/>
      <c r="I202" s="407"/>
      <c r="J202" s="410"/>
    </row>
    <row r="203" spans="1:10">
      <c r="D203" s="401" t="s">
        <v>238</v>
      </c>
      <c r="E203" s="511">
        <v>1</v>
      </c>
      <c r="F203" s="958" t="s">
        <v>964</v>
      </c>
      <c r="G203" s="957"/>
      <c r="H203" s="957"/>
      <c r="I203" s="957"/>
      <c r="J203" s="949"/>
    </row>
    <row r="204" spans="1:10">
      <c r="D204" s="402"/>
      <c r="E204" s="509">
        <v>2</v>
      </c>
      <c r="F204" s="956" t="s">
        <v>349</v>
      </c>
      <c r="G204" s="952"/>
      <c r="H204" s="952"/>
      <c r="I204" s="952"/>
      <c r="J204" s="951"/>
    </row>
    <row r="205" spans="1:10">
      <c r="D205" s="402"/>
      <c r="E205" s="509">
        <v>3</v>
      </c>
      <c r="F205" s="956" t="s">
        <v>348</v>
      </c>
      <c r="G205" s="952"/>
      <c r="H205" s="952"/>
      <c r="I205" s="952"/>
      <c r="J205" s="951"/>
    </row>
    <row r="206" spans="1:10">
      <c r="D206" s="402"/>
      <c r="E206" s="509">
        <v>4</v>
      </c>
      <c r="F206" s="956" t="s">
        <v>794</v>
      </c>
      <c r="G206" s="952"/>
      <c r="H206" s="952"/>
      <c r="I206" s="952"/>
      <c r="J206" s="951"/>
    </row>
    <row r="207" spans="1:10">
      <c r="D207" s="402"/>
      <c r="E207" s="509">
        <v>5</v>
      </c>
      <c r="F207" s="956" t="s">
        <v>347</v>
      </c>
      <c r="G207" s="952"/>
      <c r="H207" s="952"/>
      <c r="I207" s="952"/>
      <c r="J207" s="951"/>
    </row>
    <row r="208" spans="1:10">
      <c r="D208" s="402"/>
      <c r="E208" s="509">
        <v>6</v>
      </c>
      <c r="F208" s="956" t="s">
        <v>346</v>
      </c>
      <c r="G208" s="952"/>
      <c r="H208" s="952"/>
      <c r="I208" s="952"/>
      <c r="J208" s="951"/>
    </row>
    <row r="209" spans="4:10" ht="27.6" customHeight="1">
      <c r="D209" s="402" t="s">
        <v>238</v>
      </c>
      <c r="E209" s="509">
        <v>7</v>
      </c>
      <c r="F209" s="956" t="s">
        <v>655</v>
      </c>
      <c r="G209" s="952"/>
      <c r="H209" s="952"/>
      <c r="I209" s="952"/>
      <c r="J209" s="951"/>
    </row>
    <row r="210" spans="4:10">
      <c r="D210" s="402" t="s">
        <v>238</v>
      </c>
      <c r="E210" s="509">
        <v>8</v>
      </c>
      <c r="F210" s="956" t="s">
        <v>795</v>
      </c>
      <c r="G210" s="952"/>
      <c r="H210" s="952"/>
      <c r="I210" s="952"/>
      <c r="J210" s="951"/>
    </row>
    <row r="211" spans="4:10" ht="14.25" thickBot="1">
      <c r="D211" s="612"/>
      <c r="E211" s="509">
        <v>9</v>
      </c>
      <c r="F211" s="985" t="s">
        <v>656</v>
      </c>
      <c r="G211" s="942"/>
      <c r="H211" s="942"/>
      <c r="I211" s="942"/>
      <c r="J211" s="943"/>
    </row>
    <row r="212" spans="4:10" ht="14.25">
      <c r="D212" s="454" t="s">
        <v>262</v>
      </c>
      <c r="E212" s="498">
        <f>COUNTIF(D203:D211,$M$4)</f>
        <v>3</v>
      </c>
      <c r="F212" s="498"/>
      <c r="G212" s="498"/>
      <c r="H212" s="498"/>
      <c r="I212" s="498"/>
      <c r="J212" s="499"/>
    </row>
    <row r="213" spans="4:10"/>
  </sheetData>
  <sheetProtection algorithmName="SHA-512" hashValue="71kQ/vY1DcjQ/6au6lw6NfbZqBnf+f7puPM+uC/JNoQIXsHF/qfMxj3zKJ6Wf9ZaxziECAsjB0kkKZcoMsBRjw==" saltValue="vaxr/bwNlMiiW5Lenv5vig==" spinCount="100000" sheet="1" objects="1" scenarios="1"/>
  <mergeCells count="93">
    <mergeCell ref="F211:J211"/>
    <mergeCell ref="F210:J210"/>
    <mergeCell ref="F208:J208"/>
    <mergeCell ref="F207:J207"/>
    <mergeCell ref="F203:J203"/>
    <mergeCell ref="F187:G187"/>
    <mergeCell ref="F185:G185"/>
    <mergeCell ref="F186:G186"/>
    <mergeCell ref="H178:I178"/>
    <mergeCell ref="E180:G180"/>
    <mergeCell ref="E179:G179"/>
    <mergeCell ref="F184:G184"/>
    <mergeCell ref="F183:G183"/>
    <mergeCell ref="I186:J186"/>
    <mergeCell ref="I185:J185"/>
    <mergeCell ref="I184:J184"/>
    <mergeCell ref="I183:J183"/>
    <mergeCell ref="D164:D165"/>
    <mergeCell ref="E165:G165"/>
    <mergeCell ref="J164:J165"/>
    <mergeCell ref="E175:G175"/>
    <mergeCell ref="D174:D175"/>
    <mergeCell ref="J174:J175"/>
    <mergeCell ref="H168:I168"/>
    <mergeCell ref="J166:J170"/>
    <mergeCell ref="H166:I166"/>
    <mergeCell ref="E169:G169"/>
    <mergeCell ref="E170:G170"/>
    <mergeCell ref="H170:I170"/>
    <mergeCell ref="E158:J158"/>
    <mergeCell ref="E159:J159"/>
    <mergeCell ref="E156:J156"/>
    <mergeCell ref="E157:J157"/>
    <mergeCell ref="F209:J209"/>
    <mergeCell ref="F206:J206"/>
    <mergeCell ref="F205:J205"/>
    <mergeCell ref="F204:J204"/>
    <mergeCell ref="J195:J199"/>
    <mergeCell ref="E176:G176"/>
    <mergeCell ref="E178:G178"/>
    <mergeCell ref="H176:I176"/>
    <mergeCell ref="J176:J180"/>
    <mergeCell ref="H180:I180"/>
    <mergeCell ref="H179:I179"/>
    <mergeCell ref="F188:G188"/>
    <mergeCell ref="H149:J149"/>
    <mergeCell ref="E147:G147"/>
    <mergeCell ref="E148:G148"/>
    <mergeCell ref="E149:G149"/>
    <mergeCell ref="E144:F144"/>
    <mergeCell ref="H144:J144"/>
    <mergeCell ref="H145:J145"/>
    <mergeCell ref="H146:J146"/>
    <mergeCell ref="E145:G145"/>
    <mergeCell ref="E146:G146"/>
    <mergeCell ref="H148:J148"/>
    <mergeCell ref="H138:J138"/>
    <mergeCell ref="E139:J139"/>
    <mergeCell ref="E138:G138"/>
    <mergeCell ref="D143:D144"/>
    <mergeCell ref="H147:J147"/>
    <mergeCell ref="D109:D110"/>
    <mergeCell ref="F119:I119"/>
    <mergeCell ref="H105:J105"/>
    <mergeCell ref="E105:G105"/>
    <mergeCell ref="E102:G102"/>
    <mergeCell ref="J111:J115"/>
    <mergeCell ref="H134:J134"/>
    <mergeCell ref="E135:G135"/>
    <mergeCell ref="E136:G136"/>
    <mergeCell ref="E137:G137"/>
    <mergeCell ref="H135:J135"/>
    <mergeCell ref="D193:D194"/>
    <mergeCell ref="F35:J35"/>
    <mergeCell ref="F36:J36"/>
    <mergeCell ref="D47:J47"/>
    <mergeCell ref="F90:J90"/>
    <mergeCell ref="E65:J65"/>
    <mergeCell ref="D99:D100"/>
    <mergeCell ref="E100:G100"/>
    <mergeCell ref="H100:J100"/>
    <mergeCell ref="E101:G101"/>
    <mergeCell ref="H101:J101"/>
    <mergeCell ref="H102:J102"/>
    <mergeCell ref="H136:J136"/>
    <mergeCell ref="H137:J137"/>
    <mergeCell ref="D133:D134"/>
    <mergeCell ref="E134:G134"/>
    <mergeCell ref="E195:F195"/>
    <mergeCell ref="E196:F196"/>
    <mergeCell ref="E197:F197"/>
    <mergeCell ref="E198:F198"/>
    <mergeCell ref="E199:F199"/>
  </mergeCells>
  <phoneticPr fontId="23"/>
  <conditionalFormatting sqref="D9 D18 D27">
    <cfRule type="expression" dxfId="34" priority="51" stopIfTrue="1">
      <formula>AND(OR(D9&lt;1,D9&gt;5),D9&lt;&gt;0)</formula>
    </cfRule>
    <cfRule type="expression" dxfId="33" priority="52" stopIfTrue="1">
      <formula>J8&gt;0</formula>
    </cfRule>
  </conditionalFormatting>
  <conditionalFormatting sqref="D41">
    <cfRule type="expression" dxfId="31" priority="49" stopIfTrue="1">
      <formula>AND(OR(D41&lt;1,D41&gt;5),D41&lt;&gt;0)</formula>
    </cfRule>
    <cfRule type="expression" dxfId="30" priority="50" stopIfTrue="1">
      <formula>J40&gt;0</formula>
    </cfRule>
  </conditionalFormatting>
  <conditionalFormatting sqref="D51">
    <cfRule type="expression" dxfId="29" priority="14" stopIfTrue="1">
      <formula>AND(OR(D51&lt;1,D51&gt;5),D51&lt;&gt;0)</formula>
    </cfRule>
    <cfRule type="expression" dxfId="28" priority="15" stopIfTrue="1">
      <formula>J50&gt;0</formula>
    </cfRule>
  </conditionalFormatting>
  <conditionalFormatting sqref="D61">
    <cfRule type="expression" dxfId="27" priority="41" stopIfTrue="1">
      <formula>AND(OR(D61&lt;1,D61&gt;5),D61&lt;&gt;0)</formula>
    </cfRule>
    <cfRule type="expression" dxfId="26" priority="42" stopIfTrue="1">
      <formula>J60&gt;0</formula>
    </cfRule>
  </conditionalFormatting>
  <conditionalFormatting sqref="D70">
    <cfRule type="expression" dxfId="25" priority="47" stopIfTrue="1">
      <formula>AND(OR(D70&lt;1,D70&gt;5),D70&lt;&gt;0)</formula>
    </cfRule>
    <cfRule type="expression" dxfId="24" priority="48" stopIfTrue="1">
      <formula>J69&gt;0</formula>
    </cfRule>
  </conditionalFormatting>
  <conditionalFormatting sqref="D85 D116">
    <cfRule type="expression" dxfId="23" priority="11" stopIfTrue="1">
      <formula>AND(OR(D85&lt;1,D85&gt;5),D85&lt;&gt;0)</formula>
    </cfRule>
    <cfRule type="expression" dxfId="22" priority="12" stopIfTrue="1">
      <formula>AND(J78&gt;0,F85=$N$4)</formula>
    </cfRule>
  </conditionalFormatting>
  <conditionalFormatting sqref="D88:D92">
    <cfRule type="expression" dxfId="21" priority="46" stopIfTrue="1">
      <formula>AND($J$78&gt;0,$F$85=$N$3)</formula>
    </cfRule>
  </conditionalFormatting>
  <conditionalFormatting sqref="D99">
    <cfRule type="expression" dxfId="20" priority="40" stopIfTrue="1">
      <formula>J98&gt;0</formula>
    </cfRule>
    <cfRule type="expression" dxfId="19" priority="39" stopIfTrue="1">
      <formula>AND(OR(D99&lt;1,D99&gt;5),D99&lt;&gt;0)</formula>
    </cfRule>
  </conditionalFormatting>
  <conditionalFormatting sqref="D119:D127">
    <cfRule type="expression" dxfId="18" priority="38">
      <formula>AND($J$108&gt;0,$F$116=$N$3)</formula>
    </cfRule>
  </conditionalFormatting>
  <conditionalFormatting sqref="D133">
    <cfRule type="expression" dxfId="17" priority="34" stopIfTrue="1">
      <formula>J132&gt;0</formula>
    </cfRule>
    <cfRule type="expression" dxfId="16" priority="33" stopIfTrue="1">
      <formula>AND(OR(D133&lt;1,D133&gt;5),D133&lt;&gt;0)</formula>
    </cfRule>
  </conditionalFormatting>
  <conditionalFormatting sqref="D143">
    <cfRule type="expression" dxfId="15" priority="32" stopIfTrue="1">
      <formula>J142&gt;0</formula>
    </cfRule>
    <cfRule type="expression" dxfId="14" priority="31" stopIfTrue="1">
      <formula>AND(OR(D143&lt;1,D143&gt;5),D143&lt;&gt;0)</formula>
    </cfRule>
  </conditionalFormatting>
  <conditionalFormatting sqref="D154">
    <cfRule type="expression" dxfId="13" priority="29" stopIfTrue="1">
      <formula>AND(OR(D154&lt;1,D154&gt;5),D154&lt;&gt;0)</formula>
    </cfRule>
    <cfRule type="expression" dxfId="12" priority="30" stopIfTrue="1">
      <formula>J153&gt;0</formula>
    </cfRule>
  </conditionalFormatting>
  <conditionalFormatting sqref="D164">
    <cfRule type="expression" dxfId="11" priority="24" stopIfTrue="1">
      <formula>AND(OR(D164&lt;1,D164&gt;5),D164&lt;&gt;0)</formula>
    </cfRule>
    <cfRule type="expression" dxfId="10" priority="25" stopIfTrue="1">
      <formula>J163&gt;0</formula>
    </cfRule>
  </conditionalFormatting>
  <conditionalFormatting sqref="D174">
    <cfRule type="expression" dxfId="9" priority="18" stopIfTrue="1">
      <formula>AND(OR(D174&lt;1,D174&gt;5),D174&lt;&gt;0)</formula>
    </cfRule>
    <cfRule type="expression" dxfId="8" priority="19" stopIfTrue="1">
      <formula>J173&gt;0</formula>
    </cfRule>
  </conditionalFormatting>
  <conditionalFormatting sqref="D200">
    <cfRule type="expression" dxfId="7" priority="581" stopIfTrue="1">
      <formula>AND(J192&gt;0,F200=$N$4)</formula>
    </cfRule>
    <cfRule type="expression" dxfId="6" priority="580" stopIfTrue="1">
      <formula>AND(OR(D200&lt;1,D200&gt;5),D200&lt;&gt;0)</formula>
    </cfRule>
  </conditionalFormatting>
  <conditionalFormatting sqref="D203:D211">
    <cfRule type="expression" dxfId="5" priority="26" stopIfTrue="1">
      <formula>AND($J$192&gt;0,$F$200=$N$3)</formula>
    </cfRule>
  </conditionalFormatting>
  <conditionalFormatting sqref="E183:E188">
    <cfRule type="expression" dxfId="4" priority="16" stopIfTrue="1">
      <formula>$J$173&gt;0</formula>
    </cfRule>
  </conditionalFormatting>
  <conditionalFormatting sqref="F85">
    <cfRule type="expression" dxfId="3" priority="13">
      <formula>J78&gt;0</formula>
    </cfRule>
  </conditionalFormatting>
  <conditionalFormatting sqref="F116">
    <cfRule type="expression" dxfId="2" priority="10">
      <formula>J108&gt;0</formula>
    </cfRule>
  </conditionalFormatting>
  <conditionalFormatting sqref="F200">
    <cfRule type="expression" dxfId="1" priority="4">
      <formula>J192&gt;0</formula>
    </cfRule>
  </conditionalFormatting>
  <conditionalFormatting sqref="H183:H187">
    <cfRule type="expression" dxfId="0" priority="1" stopIfTrue="1">
      <formula>$J$173&gt;0</formula>
    </cfRule>
  </conditionalFormatting>
  <dataValidations count="7">
    <dataValidation type="list" allowBlank="1" showInputMessage="1" showErrorMessage="1" sqref="D35:D36 D88:D92 D203:D211 E183:E188 H183:H187" xr:uid="{D7017CCD-0420-4F97-9CC2-C918146F3DC0}">
      <formula1>"○,　"</formula1>
    </dataValidation>
    <dataValidation type="list" allowBlank="1" showInputMessage="1" sqref="D18 D9 D27 D41 D70 D61 D154 D51" xr:uid="{0D5A669C-17CA-464A-81DF-300EA9F2681C}">
      <formula1>A10:A15</formula1>
    </dataValidation>
    <dataValidation type="list" allowBlank="1" showInputMessage="1" sqref="D200 D85 D116" xr:uid="{212D2F8B-A5A2-45B7-9F35-3BDC7B2D4DAF}">
      <formula1>A80:A85</formula1>
    </dataValidation>
    <dataValidation type="list" allowBlank="1" showInputMessage="1" showErrorMessage="1" sqref="F200 F85 F116" xr:uid="{8A589145-29C0-43DA-9BEF-A3200054055D}">
      <formula1>$N$3:$N$4</formula1>
    </dataValidation>
    <dataValidation allowBlank="1" showInputMessage="1" sqref="D79 D109 D193" xr:uid="{07107183-E059-4E86-B39C-CC6E967AADBD}"/>
    <dataValidation type="list" allowBlank="1" showInputMessage="1" showErrorMessage="1" sqref="D119:D127" xr:uid="{5C513537-726C-4ABF-8BA2-A3D9E2822A56}">
      <formula1>J119:K119</formula1>
    </dataValidation>
    <dataValidation type="list" allowBlank="1" showInputMessage="1" sqref="D99 D133 D143 D164 D174" xr:uid="{FB8C2723-145F-4064-A6CB-4DCA38D1EA12}">
      <formula1>A101:A106</formula1>
    </dataValidation>
  </dataValidations>
  <pageMargins left="0.7" right="0.7" top="0.75" bottom="0.75" header="0.3" footer="0.3"/>
  <pageSetup paperSize="9" scale="85" fitToHeight="0" orientation="portrait" horizontalDpi="1200" verticalDpi="1200" r:id="rId1"/>
  <rowBreaks count="3" manualBreakCount="3">
    <brk id="67" max="16383" man="1"/>
    <brk id="129" max="16383" man="1"/>
    <brk id="171" max="16383" man="1"/>
  </rowBreaks>
  <extLst>
    <ext xmlns:x14="http://schemas.microsoft.com/office/spreadsheetml/2009/9/main" uri="{78C0D931-6437-407d-A8EE-F0AAD7539E65}">
      <x14:conditionalFormattings>
        <x14:conditionalFormatting xmlns:xm="http://schemas.microsoft.com/office/excel/2006/main">
          <x14:cfRule type="expression" priority="53" id="{891B7552-4DBD-42DA-8737-CBD589BF147D}">
            <xm:f>採点Qw2!$J$28&gt;0</xm:f>
            <x14:dxf>
              <fill>
                <patternFill>
                  <bgColor rgb="FFCCFFFF"/>
                </patternFill>
              </fill>
            </x14:dxf>
          </x14:cfRule>
          <xm:sqref>D35:D36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S38"/>
  <sheetViews>
    <sheetView showGridLines="0" workbookViewId="0">
      <selection activeCell="C32" sqref="C32"/>
    </sheetView>
  </sheetViews>
  <sheetFormatPr defaultColWidth="0" defaultRowHeight="13.5" customHeight="1" zeroHeight="1"/>
  <cols>
    <col min="1" max="1" width="1.125" customWidth="1"/>
    <col min="2" max="18" width="8.75" customWidth="1"/>
    <col min="19" max="19" width="1.5" customWidth="1"/>
    <col min="20" max="16384" width="8.75" hidden="1"/>
  </cols>
  <sheetData>
    <row r="1" spans="2:18" ht="13.5" customHeight="1">
      <c r="B1" s="413"/>
      <c r="C1" s="413"/>
      <c r="D1" s="413"/>
      <c r="E1" s="413"/>
      <c r="F1" s="413"/>
      <c r="G1" s="413"/>
      <c r="H1" s="413"/>
      <c r="I1" s="413"/>
      <c r="J1" s="413"/>
      <c r="K1" s="413"/>
      <c r="L1" s="413"/>
      <c r="M1" s="413"/>
      <c r="N1" s="413"/>
      <c r="O1" s="413"/>
      <c r="P1" s="413"/>
      <c r="Q1" s="413"/>
      <c r="R1" s="413"/>
    </row>
    <row r="2" spans="2:18" ht="13.5" customHeight="1">
      <c r="B2" s="413"/>
      <c r="C2" s="413"/>
      <c r="D2" s="413"/>
      <c r="E2" s="413"/>
      <c r="F2" s="413"/>
      <c r="G2" s="413"/>
      <c r="H2" s="413"/>
      <c r="I2" s="413"/>
      <c r="J2" s="413"/>
      <c r="K2" s="413"/>
      <c r="L2" s="413"/>
      <c r="M2" s="413"/>
      <c r="N2" s="413"/>
      <c r="O2" s="413"/>
      <c r="P2" s="413"/>
      <c r="Q2" s="413"/>
      <c r="R2" s="413"/>
    </row>
    <row r="3" spans="2:18" ht="13.5" customHeight="1">
      <c r="B3" s="413"/>
      <c r="C3" s="413"/>
      <c r="D3" s="413"/>
      <c r="E3" s="413"/>
      <c r="F3" s="413"/>
      <c r="G3" s="413"/>
      <c r="H3" s="413"/>
      <c r="I3" s="413"/>
      <c r="J3" s="413"/>
      <c r="K3" s="413"/>
      <c r="L3" s="413"/>
      <c r="M3" s="413"/>
      <c r="N3" s="413"/>
      <c r="O3" s="413"/>
      <c r="P3" s="413"/>
      <c r="Q3" s="413"/>
      <c r="R3" s="413"/>
    </row>
    <row r="4" spans="2:18" ht="13.5" customHeight="1">
      <c r="B4" s="413"/>
      <c r="C4" s="413"/>
      <c r="D4" s="413"/>
      <c r="E4" s="413"/>
      <c r="F4" s="413"/>
      <c r="G4" s="413"/>
      <c r="H4" s="413"/>
      <c r="I4" s="413"/>
      <c r="J4" s="413"/>
      <c r="K4" s="413"/>
      <c r="L4" s="413"/>
      <c r="M4" s="413"/>
      <c r="N4" s="413"/>
      <c r="O4" s="413"/>
      <c r="P4" s="413"/>
      <c r="Q4" s="413"/>
      <c r="R4" s="413"/>
    </row>
    <row r="5" spans="2:18" ht="13.5" customHeight="1">
      <c r="B5" s="413"/>
      <c r="C5" s="413"/>
      <c r="D5" s="413"/>
      <c r="E5" s="413"/>
      <c r="F5" s="413"/>
      <c r="G5" s="413"/>
      <c r="H5" s="413"/>
      <c r="I5" s="413"/>
      <c r="J5" s="413"/>
      <c r="K5" s="413"/>
      <c r="L5" s="413"/>
      <c r="M5" s="413"/>
      <c r="N5" s="413"/>
      <c r="O5" s="413"/>
      <c r="P5" s="413"/>
      <c r="Q5" s="413"/>
      <c r="R5" s="413"/>
    </row>
    <row r="6" spans="2:18" ht="13.5" customHeight="1">
      <c r="B6" s="413"/>
      <c r="C6" s="413"/>
      <c r="D6" s="413"/>
      <c r="E6" s="413"/>
      <c r="F6" s="413"/>
      <c r="G6" s="413"/>
      <c r="H6" s="413"/>
      <c r="I6" s="413"/>
      <c r="J6" s="413"/>
      <c r="K6" s="413"/>
      <c r="L6" s="413"/>
      <c r="M6" s="413"/>
      <c r="N6" s="413"/>
      <c r="O6" s="413"/>
      <c r="P6" s="413"/>
      <c r="Q6" s="413"/>
      <c r="R6" s="413"/>
    </row>
    <row r="7" spans="2:18" ht="13.5" customHeight="1">
      <c r="B7" s="413"/>
      <c r="C7" s="413"/>
      <c r="D7" s="413"/>
      <c r="E7" s="413"/>
      <c r="F7" s="413"/>
      <c r="G7" s="413"/>
      <c r="H7" s="413"/>
      <c r="I7" s="413"/>
      <c r="J7" s="413"/>
      <c r="K7" s="413"/>
      <c r="L7" s="413"/>
      <c r="M7" s="413"/>
      <c r="N7" s="413"/>
      <c r="O7" s="413"/>
      <c r="P7" s="413"/>
      <c r="Q7" s="413"/>
      <c r="R7" s="413"/>
    </row>
    <row r="8" spans="2:18" ht="13.5" customHeight="1">
      <c r="B8" s="413"/>
      <c r="C8" s="413"/>
      <c r="D8" s="413"/>
      <c r="E8" s="413"/>
      <c r="F8" s="413"/>
      <c r="G8" s="413"/>
      <c r="H8" s="413"/>
      <c r="I8" s="413"/>
      <c r="J8" s="413"/>
      <c r="K8" s="413"/>
      <c r="L8" s="413"/>
      <c r="M8" s="413"/>
      <c r="N8" s="413"/>
      <c r="O8" s="413"/>
      <c r="P8" s="413"/>
      <c r="Q8" s="413"/>
      <c r="R8" s="413"/>
    </row>
    <row r="9" spans="2:18" ht="13.5" customHeight="1">
      <c r="B9" s="413"/>
      <c r="C9" s="413"/>
      <c r="D9" s="413"/>
      <c r="E9" s="413"/>
      <c r="F9" s="413"/>
      <c r="G9" s="413"/>
      <c r="H9" s="413"/>
      <c r="I9" s="413"/>
      <c r="J9" s="413"/>
      <c r="K9" s="413"/>
      <c r="L9" s="413"/>
      <c r="M9" s="413"/>
      <c r="N9" s="413"/>
      <c r="O9" s="413"/>
      <c r="P9" s="413"/>
      <c r="Q9" s="413"/>
      <c r="R9" s="413"/>
    </row>
    <row r="10" spans="2:18" ht="13.5" customHeight="1">
      <c r="B10" s="413"/>
      <c r="C10" s="413"/>
      <c r="D10" s="413"/>
      <c r="E10" s="413"/>
      <c r="F10" s="413"/>
      <c r="G10" s="413"/>
      <c r="H10" s="413"/>
      <c r="I10" s="413"/>
      <c r="J10" s="413"/>
      <c r="K10" s="413"/>
      <c r="L10" s="413"/>
      <c r="M10" s="413"/>
      <c r="N10" s="413"/>
      <c r="O10" s="413"/>
      <c r="P10" s="413"/>
      <c r="Q10" s="413"/>
      <c r="R10" s="413"/>
    </row>
    <row r="11" spans="2:18" ht="13.5" customHeight="1">
      <c r="B11" s="413"/>
      <c r="C11" s="413"/>
      <c r="D11" s="413"/>
      <c r="E11" s="413"/>
      <c r="F11" s="413"/>
      <c r="G11" s="413"/>
      <c r="H11" s="413"/>
      <c r="I11" s="413"/>
      <c r="J11" s="413"/>
      <c r="K11" s="413"/>
      <c r="L11" s="413"/>
      <c r="M11" s="413"/>
      <c r="N11" s="413"/>
      <c r="O11" s="413"/>
      <c r="P11" s="413"/>
      <c r="Q11" s="413"/>
      <c r="R11" s="413"/>
    </row>
    <row r="12" spans="2:18" ht="13.5" customHeight="1">
      <c r="B12" s="413"/>
      <c r="C12" s="413"/>
      <c r="D12" s="413"/>
      <c r="E12" s="413"/>
      <c r="F12" s="413"/>
      <c r="G12" s="413"/>
      <c r="H12" s="413"/>
      <c r="I12" s="413"/>
      <c r="J12" s="413"/>
      <c r="K12" s="413"/>
      <c r="L12" s="413"/>
      <c r="M12" s="413"/>
      <c r="N12" s="413"/>
      <c r="O12" s="413"/>
      <c r="P12" s="413"/>
      <c r="Q12" s="413"/>
      <c r="R12" s="413"/>
    </row>
    <row r="13" spans="2:18" ht="18.75">
      <c r="B13" s="413"/>
      <c r="C13" s="413"/>
      <c r="D13" s="413"/>
      <c r="E13" s="414"/>
      <c r="F13" s="413"/>
      <c r="G13" s="413"/>
      <c r="H13" s="413"/>
      <c r="I13" s="413"/>
      <c r="J13" s="413"/>
      <c r="K13" s="413"/>
      <c r="L13" s="413"/>
      <c r="M13" s="413"/>
      <c r="N13" s="413"/>
      <c r="O13" s="413"/>
      <c r="P13" s="413"/>
      <c r="Q13" s="413"/>
      <c r="R13" s="413"/>
    </row>
    <row r="14" spans="2:18" ht="13.5" customHeight="1">
      <c r="B14" s="413"/>
      <c r="C14" s="413"/>
      <c r="D14" s="413"/>
      <c r="E14" s="413"/>
      <c r="F14" s="413"/>
      <c r="G14" s="413"/>
      <c r="H14" s="413"/>
      <c r="I14" s="413"/>
      <c r="J14" s="413"/>
      <c r="K14" s="413"/>
      <c r="L14" s="413"/>
      <c r="M14" s="413"/>
      <c r="N14" s="413"/>
      <c r="O14" s="413"/>
      <c r="P14" s="413"/>
      <c r="Q14" s="413"/>
      <c r="R14" s="413"/>
    </row>
    <row r="15" spans="2:18" ht="13.5" customHeight="1">
      <c r="B15" s="413"/>
      <c r="C15" s="413"/>
      <c r="D15" s="413"/>
      <c r="E15" s="413"/>
      <c r="F15" s="413"/>
      <c r="G15" s="413"/>
      <c r="H15" s="413"/>
      <c r="I15" s="413"/>
      <c r="J15" s="413"/>
      <c r="K15" s="413"/>
      <c r="L15" s="413"/>
      <c r="M15" s="413"/>
      <c r="N15" s="413"/>
      <c r="O15" s="413"/>
      <c r="P15" s="413"/>
      <c r="Q15" s="413"/>
      <c r="R15" s="413"/>
    </row>
    <row r="16" spans="2:18" ht="13.5" customHeight="1">
      <c r="B16" s="413"/>
      <c r="C16" s="413"/>
      <c r="D16" s="413"/>
      <c r="E16" s="413"/>
      <c r="F16" s="413"/>
      <c r="G16" s="413"/>
      <c r="H16" s="413"/>
      <c r="I16" s="413"/>
      <c r="J16" s="413"/>
      <c r="K16" s="413"/>
      <c r="L16" s="413"/>
      <c r="M16" s="413"/>
      <c r="N16" s="413"/>
      <c r="O16" s="413"/>
      <c r="P16" s="413"/>
      <c r="Q16" s="413"/>
      <c r="R16" s="413"/>
    </row>
    <row r="17" spans="2:18" ht="13.5" customHeight="1">
      <c r="B17" s="413"/>
      <c r="C17" s="413"/>
      <c r="D17" s="413"/>
      <c r="E17" s="413"/>
      <c r="F17" s="413"/>
      <c r="G17" s="413"/>
      <c r="H17" s="413"/>
      <c r="I17" s="413"/>
      <c r="J17" s="413"/>
      <c r="K17" s="413"/>
      <c r="L17" s="413"/>
      <c r="M17" s="413"/>
      <c r="N17" s="413"/>
      <c r="O17" s="413"/>
      <c r="P17" s="413"/>
      <c r="Q17" s="413"/>
      <c r="R17" s="413"/>
    </row>
    <row r="18" spans="2:18" ht="13.5" customHeight="1">
      <c r="B18" s="413"/>
      <c r="C18" s="413"/>
      <c r="D18" s="413"/>
      <c r="E18" s="413"/>
      <c r="F18" s="413"/>
      <c r="G18" s="413"/>
      <c r="H18" s="413"/>
      <c r="I18" s="413"/>
      <c r="J18" s="413"/>
      <c r="K18" s="413"/>
      <c r="L18" s="413"/>
      <c r="M18" s="413"/>
      <c r="N18" s="413"/>
      <c r="O18" s="413"/>
      <c r="P18" s="413"/>
      <c r="Q18" s="413"/>
      <c r="R18" s="413"/>
    </row>
    <row r="19" spans="2:18" ht="13.5" customHeight="1">
      <c r="B19" s="413"/>
      <c r="C19" s="413"/>
      <c r="D19" s="413"/>
      <c r="E19" s="413"/>
      <c r="F19" s="413"/>
      <c r="G19" s="413"/>
      <c r="H19" s="413"/>
      <c r="I19" s="413"/>
      <c r="J19" s="413"/>
      <c r="K19" s="413"/>
      <c r="L19" s="413"/>
      <c r="M19" s="413"/>
      <c r="N19" s="413"/>
      <c r="O19" s="413"/>
      <c r="P19" s="413"/>
      <c r="Q19" s="413"/>
      <c r="R19" s="413"/>
    </row>
    <row r="20" spans="2:18" ht="13.5" customHeight="1">
      <c r="B20" s="413"/>
      <c r="C20" s="413"/>
      <c r="D20" s="413"/>
      <c r="E20" s="413"/>
      <c r="F20" s="413"/>
      <c r="G20" s="413"/>
      <c r="H20" s="413"/>
      <c r="I20" s="413"/>
      <c r="J20" s="413"/>
      <c r="K20" s="413"/>
      <c r="L20" s="413"/>
      <c r="M20" s="413"/>
      <c r="N20" s="413"/>
      <c r="O20" s="413"/>
      <c r="P20" s="413"/>
      <c r="Q20" s="413"/>
      <c r="R20" s="413"/>
    </row>
    <row r="21" spans="2:18" ht="13.5" customHeight="1">
      <c r="B21" s="413"/>
      <c r="C21" s="413"/>
      <c r="D21" s="413"/>
      <c r="E21" s="413"/>
      <c r="F21" s="413"/>
      <c r="G21" s="413"/>
      <c r="H21" s="413"/>
      <c r="I21" s="413"/>
      <c r="J21" s="413"/>
      <c r="K21" s="413"/>
      <c r="L21" s="413"/>
      <c r="M21" s="413"/>
      <c r="N21" s="413"/>
      <c r="O21" s="413"/>
      <c r="P21" s="413"/>
      <c r="Q21" s="413"/>
      <c r="R21" s="413"/>
    </row>
    <row r="22" spans="2:18" ht="13.5" customHeight="1">
      <c r="B22" s="413"/>
      <c r="C22" s="413"/>
      <c r="D22" s="413"/>
      <c r="E22" s="413"/>
      <c r="F22" s="413"/>
      <c r="G22" s="413"/>
      <c r="H22" s="413"/>
      <c r="I22" s="413"/>
      <c r="J22" s="413"/>
      <c r="K22" s="413"/>
      <c r="L22" s="413"/>
      <c r="M22" s="413"/>
      <c r="N22" s="413"/>
      <c r="O22" s="413"/>
      <c r="P22" s="413"/>
      <c r="Q22" s="413"/>
      <c r="R22" s="413"/>
    </row>
    <row r="23" spans="2:18" ht="13.5" customHeight="1">
      <c r="B23" s="413"/>
      <c r="C23" s="413"/>
      <c r="D23" s="413"/>
      <c r="E23" s="413"/>
      <c r="F23" s="413"/>
      <c r="G23" s="413"/>
      <c r="H23" s="413"/>
      <c r="I23" s="413"/>
      <c r="J23" s="413"/>
      <c r="K23" s="413"/>
      <c r="L23" s="413"/>
      <c r="M23" s="413"/>
      <c r="N23" s="413"/>
      <c r="O23" s="413"/>
      <c r="P23" s="413"/>
      <c r="Q23" s="413"/>
      <c r="R23" s="413"/>
    </row>
    <row r="24" spans="2:18" ht="13.5" customHeight="1">
      <c r="B24" s="413"/>
      <c r="C24" s="413"/>
      <c r="D24" s="413"/>
      <c r="E24" s="413"/>
      <c r="F24" s="413"/>
      <c r="G24" s="413"/>
      <c r="H24" s="413"/>
      <c r="I24" s="413"/>
      <c r="J24" s="413"/>
      <c r="K24" s="413"/>
      <c r="L24" s="413"/>
      <c r="M24" s="413"/>
      <c r="N24" s="413"/>
      <c r="O24" s="413"/>
      <c r="P24" s="413"/>
      <c r="Q24" s="413"/>
      <c r="R24" s="413"/>
    </row>
    <row r="25" spans="2:18" ht="13.5" customHeight="1">
      <c r="B25" s="413"/>
      <c r="C25" s="413"/>
      <c r="D25" s="413"/>
      <c r="E25" s="413"/>
      <c r="F25" s="413"/>
      <c r="G25" s="413"/>
      <c r="H25" s="413"/>
      <c r="I25" s="413"/>
      <c r="J25" s="413"/>
      <c r="K25" s="413"/>
      <c r="L25" s="413"/>
      <c r="M25" s="413"/>
      <c r="N25" s="413"/>
      <c r="O25" s="413"/>
      <c r="P25" s="413"/>
      <c r="Q25" s="413"/>
      <c r="R25" s="413"/>
    </row>
    <row r="26" spans="2:18" ht="13.5" customHeight="1">
      <c r="B26" s="413"/>
      <c r="C26" s="413"/>
      <c r="D26" s="413"/>
      <c r="E26" s="413"/>
      <c r="F26" s="413"/>
      <c r="G26" s="413"/>
      <c r="H26" s="413"/>
      <c r="I26" s="413"/>
      <c r="J26" s="413"/>
      <c r="K26" s="413"/>
      <c r="L26" s="413"/>
      <c r="M26" s="413"/>
      <c r="N26" s="413"/>
      <c r="O26" s="413"/>
      <c r="P26" s="413"/>
      <c r="Q26" s="413"/>
      <c r="R26" s="413"/>
    </row>
    <row r="27" spans="2:18" ht="13.5" customHeight="1">
      <c r="B27" s="413"/>
      <c r="C27" s="413"/>
      <c r="D27" s="413"/>
      <c r="E27" s="413"/>
      <c r="F27" s="413"/>
      <c r="G27" s="413"/>
      <c r="H27" s="413"/>
      <c r="I27" s="413"/>
      <c r="J27" s="413"/>
      <c r="K27" s="413"/>
      <c r="L27" s="413"/>
      <c r="M27" s="413"/>
      <c r="N27" s="413"/>
      <c r="O27" s="413"/>
      <c r="P27" s="413"/>
      <c r="Q27" s="413"/>
      <c r="R27" s="413"/>
    </row>
    <row r="28" spans="2:18" ht="13.5" customHeight="1">
      <c r="B28" s="413"/>
      <c r="C28" s="413"/>
      <c r="D28" s="413"/>
      <c r="E28" s="413"/>
      <c r="F28" s="413"/>
      <c r="G28" s="413"/>
      <c r="H28" s="413"/>
      <c r="I28" s="413"/>
      <c r="J28" s="413"/>
      <c r="K28" s="413"/>
      <c r="L28" s="413"/>
      <c r="M28" s="413"/>
      <c r="N28" s="413"/>
      <c r="O28" s="413"/>
      <c r="P28" s="413"/>
      <c r="Q28" s="413"/>
      <c r="R28" s="413"/>
    </row>
    <row r="29" spans="2:18" ht="13.5" customHeight="1">
      <c r="B29" s="413"/>
      <c r="C29" s="413"/>
      <c r="D29" s="413"/>
      <c r="E29" s="413"/>
      <c r="F29" s="413"/>
      <c r="G29" s="413"/>
      <c r="H29" s="413"/>
      <c r="I29" s="413"/>
      <c r="J29" s="413"/>
      <c r="K29" s="413"/>
      <c r="L29" s="413"/>
      <c r="M29" s="413"/>
      <c r="N29" s="413"/>
      <c r="O29" s="413"/>
      <c r="P29" s="413"/>
      <c r="Q29" s="413"/>
      <c r="R29" s="413"/>
    </row>
    <row r="30" spans="2:18" ht="13.5" customHeight="1">
      <c r="B30" s="413"/>
      <c r="C30" s="413"/>
      <c r="D30" s="413"/>
      <c r="E30" s="413"/>
      <c r="F30" s="413"/>
      <c r="G30" s="413"/>
      <c r="H30" s="413"/>
      <c r="I30" s="413"/>
      <c r="J30" s="413"/>
      <c r="K30" s="413"/>
      <c r="L30" s="413"/>
      <c r="M30" s="413"/>
      <c r="N30" s="413"/>
      <c r="O30" s="413"/>
      <c r="P30" s="413"/>
      <c r="Q30" s="413"/>
      <c r="R30" s="413"/>
    </row>
    <row r="31" spans="2:18" ht="13.5" customHeight="1">
      <c r="B31" s="413"/>
      <c r="C31" s="413"/>
      <c r="D31" s="413"/>
      <c r="E31" s="413"/>
      <c r="F31" s="413"/>
      <c r="G31" s="413"/>
      <c r="H31" s="413"/>
      <c r="I31" s="413"/>
      <c r="J31" s="413"/>
      <c r="K31" s="413"/>
      <c r="L31" s="413"/>
      <c r="M31" s="413"/>
      <c r="N31" s="413"/>
      <c r="O31" s="413"/>
      <c r="P31" s="413"/>
      <c r="Q31" s="413"/>
      <c r="R31" s="413"/>
    </row>
    <row r="32" spans="2:18" ht="13.5" customHeight="1">
      <c r="B32" s="413"/>
      <c r="C32" s="413"/>
      <c r="D32" s="413"/>
      <c r="E32" s="413"/>
      <c r="F32" s="413"/>
      <c r="G32" s="413"/>
      <c r="H32" s="413"/>
      <c r="I32" s="413"/>
      <c r="J32" s="413"/>
      <c r="K32" s="413"/>
      <c r="L32" s="413"/>
      <c r="M32" s="413"/>
      <c r="N32" s="413"/>
      <c r="O32" s="413"/>
      <c r="P32" s="413"/>
      <c r="Q32" s="413"/>
      <c r="R32" s="413"/>
    </row>
    <row r="33" spans="2:18" ht="13.5" customHeight="1">
      <c r="B33" s="413"/>
      <c r="C33" s="413"/>
      <c r="D33" s="413"/>
      <c r="E33" s="413"/>
      <c r="F33" s="413"/>
      <c r="G33" s="413"/>
      <c r="H33" s="413"/>
      <c r="I33" s="413"/>
      <c r="J33" s="413"/>
      <c r="K33" s="413"/>
      <c r="L33" s="413"/>
      <c r="M33" s="413"/>
      <c r="N33" s="413"/>
      <c r="O33" s="413"/>
      <c r="P33" s="413"/>
      <c r="Q33" s="413"/>
      <c r="R33" s="413"/>
    </row>
    <row r="34" spans="2:18" ht="13.5" customHeight="1">
      <c r="B34" s="413"/>
      <c r="C34" s="413"/>
      <c r="D34" s="413"/>
      <c r="E34" s="413"/>
      <c r="F34" s="413"/>
      <c r="G34" s="413"/>
      <c r="H34" s="413"/>
      <c r="I34" s="413"/>
      <c r="J34" s="413"/>
      <c r="K34" s="413"/>
      <c r="L34" s="413"/>
      <c r="M34" s="413"/>
      <c r="N34" s="413"/>
      <c r="O34" s="413"/>
      <c r="P34" s="413"/>
      <c r="Q34" s="413"/>
      <c r="R34" s="413"/>
    </row>
    <row r="35" spans="2:18" ht="13.5" customHeight="1">
      <c r="B35" s="413"/>
      <c r="C35" s="413"/>
      <c r="D35" s="413"/>
      <c r="E35" s="413"/>
      <c r="F35" s="413"/>
      <c r="G35" s="413"/>
      <c r="H35" s="413"/>
      <c r="I35" s="413"/>
      <c r="J35" s="413"/>
      <c r="K35" s="413"/>
      <c r="L35" s="413"/>
      <c r="M35" s="413"/>
      <c r="N35" s="413"/>
      <c r="O35" s="413"/>
      <c r="P35" s="413"/>
      <c r="Q35" s="413"/>
      <c r="R35" s="413"/>
    </row>
    <row r="36" spans="2:18" ht="13.5" customHeight="1">
      <c r="B36" s="413"/>
      <c r="C36" s="413"/>
      <c r="D36" s="413"/>
      <c r="E36" s="413"/>
      <c r="F36" s="413"/>
      <c r="G36" s="413"/>
      <c r="H36" s="413"/>
      <c r="I36" s="413"/>
      <c r="J36" s="413"/>
      <c r="K36" s="413"/>
      <c r="L36" s="413"/>
      <c r="M36" s="413"/>
      <c r="N36" s="413"/>
      <c r="O36" s="413"/>
      <c r="P36" s="413"/>
      <c r="Q36" s="413"/>
      <c r="R36" s="413"/>
    </row>
    <row r="37" spans="2:18" ht="13.5" customHeight="1">
      <c r="G37" s="413"/>
      <c r="H37" s="413"/>
      <c r="I37" s="413"/>
      <c r="J37" s="413"/>
      <c r="K37" s="413"/>
      <c r="L37" s="413"/>
      <c r="M37" s="413"/>
      <c r="N37" s="413"/>
      <c r="O37" s="413"/>
      <c r="P37" s="413"/>
      <c r="Q37" s="413"/>
      <c r="R37" s="413"/>
    </row>
    <row r="38" spans="2:18" ht="13.5" hidden="1" customHeight="1">
      <c r="J38" s="413"/>
      <c r="K38" s="413"/>
      <c r="L38" s="413"/>
      <c r="M38" s="413"/>
      <c r="N38" s="413"/>
      <c r="O38" s="413"/>
      <c r="P38" s="413"/>
      <c r="Q38" s="413"/>
      <c r="R38" s="413"/>
    </row>
  </sheetData>
  <sheetProtection algorithmName="SHA-512" hashValue="IGhosn7Ey3o9+5ePoETPc//nrvq7kWAu5easq/iEZi04UA/cXVYlQoYvpyk9FsSNJvVpc26J65qhV5T3ek53lQ==" saltValue="q8n6bKB3NJjemqxreuuE9A==" spinCount="100000" sheet="1" objects="1" scenarios="1"/>
  <phoneticPr fontId="23"/>
  <printOptions horizontalCentered="1"/>
  <pageMargins left="0.7" right="0.7" top="0.75" bottom="0.75" header="0.3" footer="0.3"/>
  <pageSetup paperSize="9" scale="58" fitToHeight="0" orientation="portrait" horizontalDpi="1200" verticalDpi="12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メイン</vt:lpstr>
      <vt:lpstr>結果</vt:lpstr>
      <vt:lpstr>結果(感染対策)</vt:lpstr>
      <vt:lpstr>配慮</vt:lpstr>
      <vt:lpstr>スコア</vt:lpstr>
      <vt:lpstr>採点Qw1</vt:lpstr>
      <vt:lpstr>採点Qw2</vt:lpstr>
      <vt:lpstr>採点Qw3</vt:lpstr>
      <vt:lpstr>クレジット</vt:lpstr>
      <vt:lpstr>クレジット!Print_Area</vt:lpstr>
      <vt:lpstr>スコア!Print_Area</vt:lpstr>
      <vt:lpstr>メイン!Print_Area</vt:lpstr>
      <vt:lpstr>結果!Print_Area</vt:lpstr>
      <vt:lpstr>'結果(感染対策)'!Print_Area</vt:lpstr>
      <vt:lpstr>採点Qw1!Print_Area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吉永 武司</cp:lastModifiedBy>
  <cp:lastPrinted>2021-09-30T02:15:21Z</cp:lastPrinted>
  <dcterms:created xsi:type="dcterms:W3CDTF">2010-08-30T05:31:56Z</dcterms:created>
  <dcterms:modified xsi:type="dcterms:W3CDTF">2025-08-04T08:33:56Z</dcterms:modified>
</cp:coreProperties>
</file>